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starostka\Documents\Hřiště\Projekt rekonstrukce sprch\"/>
    </mc:Choice>
  </mc:AlternateContent>
  <xr:revisionPtr revIDLastSave="0" documentId="8_{D8D081DE-DBE7-41A6-8BE1-33FA0D0EB816}" xr6:coauthVersionLast="34" xr6:coauthVersionMax="34" xr10:uidLastSave="{00000000-0000-0000-0000-000000000000}"/>
  <bookViews>
    <workbookView xWindow="0" yWindow="0" windowWidth="21570" windowHeight="7980" activeTab="2" xr2:uid="{00000000-000D-0000-FFFF-FFFF00000000}"/>
  </bookViews>
  <sheets>
    <sheet name="Souhrn exportu" sheetId="1" r:id="rId1"/>
    <sheet name="Stavební rozpočet" sheetId="2" r:id="rId2"/>
    <sheet name="Krycí list rozpočtu" sheetId="3" r:id="rId3"/>
  </sheets>
  <calcPr calcId="162913"/>
  <fileRecoveryPr repairLoad="1"/>
</workbook>
</file>

<file path=xl/calcChain.xml><?xml version="1.0" encoding="utf-8"?>
<calcChain xmlns="http://schemas.openxmlformats.org/spreadsheetml/2006/main">
  <c r="C26" i="3" l="1"/>
  <c r="F26" i="3" s="1"/>
  <c r="C24" i="3"/>
  <c r="I22" i="3"/>
  <c r="F22" i="3"/>
  <c r="C21" i="3"/>
  <c r="C20" i="3"/>
  <c r="C19" i="3"/>
  <c r="C18" i="3"/>
  <c r="C17" i="3"/>
  <c r="C16" i="3"/>
  <c r="C15" i="3"/>
  <c r="C14" i="3"/>
  <c r="AF120" i="2"/>
  <c r="AE120" i="2"/>
  <c r="AB120" i="2"/>
  <c r="Z120" i="2"/>
  <c r="O120" i="2"/>
  <c r="L120" i="2"/>
  <c r="J120" i="2"/>
  <c r="AA120" i="2" s="1"/>
  <c r="H120" i="2"/>
  <c r="AF119" i="2"/>
  <c r="AE119" i="2"/>
  <c r="AB119" i="2"/>
  <c r="Z119" i="2"/>
  <c r="O119" i="2"/>
  <c r="L119" i="2"/>
  <c r="J119" i="2"/>
  <c r="AA119" i="2" s="1"/>
  <c r="I119" i="2"/>
  <c r="H119" i="2"/>
  <c r="AF118" i="2"/>
  <c r="AE118" i="2"/>
  <c r="H118" i="2" s="1"/>
  <c r="H114" i="2" s="1"/>
  <c r="AB118" i="2"/>
  <c r="Z118" i="2"/>
  <c r="O118" i="2"/>
  <c r="L118" i="2"/>
  <c r="J118" i="2"/>
  <c r="AA118" i="2" s="1"/>
  <c r="AF117" i="2"/>
  <c r="AE117" i="2"/>
  <c r="AB117" i="2"/>
  <c r="Z117" i="2"/>
  <c r="O117" i="2"/>
  <c r="L117" i="2"/>
  <c r="J117" i="2"/>
  <c r="AA117" i="2" s="1"/>
  <c r="I117" i="2"/>
  <c r="H117" i="2"/>
  <c r="AF116" i="2"/>
  <c r="AE116" i="2"/>
  <c r="AB116" i="2"/>
  <c r="Z116" i="2"/>
  <c r="O116" i="2"/>
  <c r="P114" i="2" s="1"/>
  <c r="L116" i="2"/>
  <c r="J116" i="2"/>
  <c r="AA116" i="2" s="1"/>
  <c r="H116" i="2"/>
  <c r="AF115" i="2"/>
  <c r="AE115" i="2"/>
  <c r="AB115" i="2"/>
  <c r="Z115" i="2"/>
  <c r="AI114" i="2" s="1"/>
  <c r="O115" i="2"/>
  <c r="L115" i="2"/>
  <c r="J115" i="2"/>
  <c r="AA115" i="2" s="1"/>
  <c r="AJ114" i="2" s="1"/>
  <c r="I115" i="2"/>
  <c r="H115" i="2"/>
  <c r="X114" i="2"/>
  <c r="U114" i="2"/>
  <c r="T114" i="2"/>
  <c r="S114" i="2"/>
  <c r="R114" i="2"/>
  <c r="AF113" i="2"/>
  <c r="AE113" i="2"/>
  <c r="AB113" i="2"/>
  <c r="AK112" i="2" s="1"/>
  <c r="AA113" i="2"/>
  <c r="AJ112" i="2" s="1"/>
  <c r="Z113" i="2"/>
  <c r="L113" i="2"/>
  <c r="L112" i="2" s="1"/>
  <c r="J113" i="2"/>
  <c r="I113" i="2" s="1"/>
  <c r="O113" i="2" s="1"/>
  <c r="H113" i="2"/>
  <c r="AI112" i="2"/>
  <c r="X112" i="2"/>
  <c r="W112" i="2"/>
  <c r="V112" i="2"/>
  <c r="U112" i="2"/>
  <c r="T112" i="2"/>
  <c r="S112" i="2"/>
  <c r="R112" i="2"/>
  <c r="I112" i="2"/>
  <c r="J112" i="2" s="1"/>
  <c r="P112" i="2" s="1"/>
  <c r="H112" i="2"/>
  <c r="X111" i="2"/>
  <c r="W111" i="2"/>
  <c r="V111" i="2"/>
  <c r="U111" i="2"/>
  <c r="T111" i="2"/>
  <c r="S111" i="2"/>
  <c r="R111" i="2"/>
  <c r="AF110" i="2"/>
  <c r="AE110" i="2"/>
  <c r="AB110" i="2"/>
  <c r="AK109" i="2" s="1"/>
  <c r="Z110" i="2"/>
  <c r="O110" i="2"/>
  <c r="L110" i="2"/>
  <c r="L109" i="2" s="1"/>
  <c r="J110" i="2"/>
  <c r="I110" i="2" s="1"/>
  <c r="I109" i="2" s="1"/>
  <c r="H110" i="2"/>
  <c r="AI109" i="2"/>
  <c r="X109" i="2"/>
  <c r="W109" i="2"/>
  <c r="V109" i="2"/>
  <c r="S109" i="2"/>
  <c r="R109" i="2"/>
  <c r="P109" i="2"/>
  <c r="H109" i="2"/>
  <c r="T109" i="2" s="1"/>
  <c r="X108" i="2"/>
  <c r="W108" i="2"/>
  <c r="V108" i="2"/>
  <c r="U108" i="2"/>
  <c r="T108" i="2"/>
  <c r="S108" i="2"/>
  <c r="R108" i="2"/>
  <c r="J108" i="2"/>
  <c r="AF107" i="2"/>
  <c r="AE107" i="2"/>
  <c r="H107" i="2" s="1"/>
  <c r="AB107" i="2"/>
  <c r="Z107" i="2"/>
  <c r="L107" i="2"/>
  <c r="J107" i="2"/>
  <c r="AA107" i="2" s="1"/>
  <c r="AF106" i="2"/>
  <c r="AE106" i="2"/>
  <c r="AB106" i="2"/>
  <c r="Z106" i="2"/>
  <c r="AI104" i="2" s="1"/>
  <c r="O106" i="2"/>
  <c r="L106" i="2"/>
  <c r="J106" i="2"/>
  <c r="AA106" i="2" s="1"/>
  <c r="I106" i="2"/>
  <c r="H106" i="2"/>
  <c r="AF105" i="2"/>
  <c r="AE105" i="2"/>
  <c r="AB105" i="2"/>
  <c r="Z105" i="2"/>
  <c r="O105" i="2"/>
  <c r="L105" i="2"/>
  <c r="J105" i="2"/>
  <c r="AA105" i="2" s="1"/>
  <c r="H105" i="2"/>
  <c r="AK104" i="2"/>
  <c r="X104" i="2"/>
  <c r="W104" i="2"/>
  <c r="V104" i="2"/>
  <c r="S104" i="2"/>
  <c r="R104" i="2"/>
  <c r="L104" i="2"/>
  <c r="X103" i="2"/>
  <c r="W103" i="2"/>
  <c r="V103" i="2"/>
  <c r="U103" i="2"/>
  <c r="T103" i="2"/>
  <c r="S103" i="2"/>
  <c r="R103" i="2"/>
  <c r="AF102" i="2"/>
  <c r="AE102" i="2"/>
  <c r="AB102" i="2"/>
  <c r="Z102" i="2"/>
  <c r="L102" i="2"/>
  <c r="J102" i="2"/>
  <c r="AA102" i="2" s="1"/>
  <c r="H102" i="2"/>
  <c r="AF101" i="2"/>
  <c r="AE101" i="2"/>
  <c r="AB101" i="2"/>
  <c r="Z101" i="2"/>
  <c r="AI98" i="2" s="1"/>
  <c r="O101" i="2"/>
  <c r="L101" i="2"/>
  <c r="J101" i="2"/>
  <c r="AA101" i="2" s="1"/>
  <c r="I101" i="2"/>
  <c r="H101" i="2"/>
  <c r="AF100" i="2"/>
  <c r="AE100" i="2"/>
  <c r="H100" i="2" s="1"/>
  <c r="H98" i="2" s="1"/>
  <c r="AB100" i="2"/>
  <c r="AK98" i="2" s="1"/>
  <c r="Z100" i="2"/>
  <c r="O100" i="2"/>
  <c r="L100" i="2"/>
  <c r="L98" i="2" s="1"/>
  <c r="J100" i="2"/>
  <c r="AA100" i="2" s="1"/>
  <c r="AF99" i="2"/>
  <c r="AE99" i="2"/>
  <c r="AB99" i="2"/>
  <c r="Z99" i="2"/>
  <c r="O99" i="2"/>
  <c r="L99" i="2"/>
  <c r="J99" i="2"/>
  <c r="AA99" i="2" s="1"/>
  <c r="AJ98" i="2" s="1"/>
  <c r="I99" i="2"/>
  <c r="H99" i="2"/>
  <c r="X98" i="2"/>
  <c r="W98" i="2"/>
  <c r="V98" i="2"/>
  <c r="S98" i="2"/>
  <c r="R98" i="2"/>
  <c r="X97" i="2"/>
  <c r="W97" i="2"/>
  <c r="V97" i="2"/>
  <c r="U97" i="2"/>
  <c r="T97" i="2"/>
  <c r="S97" i="2"/>
  <c r="R97" i="2"/>
  <c r="AF96" i="2"/>
  <c r="AE96" i="2"/>
  <c r="AB96" i="2"/>
  <c r="Z96" i="2"/>
  <c r="L96" i="2"/>
  <c r="J96" i="2"/>
  <c r="AA96" i="2" s="1"/>
  <c r="H96" i="2"/>
  <c r="AF95" i="2"/>
  <c r="AE95" i="2"/>
  <c r="H95" i="2" s="1"/>
  <c r="AB95" i="2"/>
  <c r="Z95" i="2"/>
  <c r="O95" i="2"/>
  <c r="L95" i="2"/>
  <c r="J95" i="2"/>
  <c r="AA95" i="2" s="1"/>
  <c r="AF94" i="2"/>
  <c r="AE94" i="2"/>
  <c r="AB94" i="2"/>
  <c r="Z94" i="2"/>
  <c r="AI92" i="2" s="1"/>
  <c r="O94" i="2"/>
  <c r="L94" i="2"/>
  <c r="J94" i="2"/>
  <c r="AA94" i="2" s="1"/>
  <c r="I94" i="2"/>
  <c r="H94" i="2"/>
  <c r="AF93" i="2"/>
  <c r="AE93" i="2"/>
  <c r="AB93" i="2"/>
  <c r="AK92" i="2" s="1"/>
  <c r="Z93" i="2"/>
  <c r="O93" i="2"/>
  <c r="L93" i="2"/>
  <c r="J93" i="2"/>
  <c r="AA93" i="2" s="1"/>
  <c r="H93" i="2"/>
  <c r="X92" i="2"/>
  <c r="W92" i="2"/>
  <c r="V92" i="2"/>
  <c r="S92" i="2"/>
  <c r="R92" i="2"/>
  <c r="L92" i="2"/>
  <c r="X91" i="2"/>
  <c r="W91" i="2"/>
  <c r="V91" i="2"/>
  <c r="U91" i="2"/>
  <c r="T91" i="2"/>
  <c r="S91" i="2"/>
  <c r="R91" i="2"/>
  <c r="X90" i="2"/>
  <c r="W90" i="2"/>
  <c r="V90" i="2"/>
  <c r="U90" i="2"/>
  <c r="T90" i="2"/>
  <c r="S90" i="2"/>
  <c r="R90" i="2"/>
  <c r="X89" i="2"/>
  <c r="W89" i="2"/>
  <c r="V89" i="2"/>
  <c r="U89" i="2"/>
  <c r="T89" i="2"/>
  <c r="S89" i="2"/>
  <c r="R89" i="2"/>
  <c r="AF88" i="2"/>
  <c r="AE88" i="2"/>
  <c r="AB88" i="2"/>
  <c r="Z88" i="2"/>
  <c r="AI86" i="2" s="1"/>
  <c r="O88" i="2"/>
  <c r="L88" i="2"/>
  <c r="J88" i="2"/>
  <c r="AA88" i="2" s="1"/>
  <c r="I88" i="2"/>
  <c r="H88" i="2"/>
  <c r="AF87" i="2"/>
  <c r="AE87" i="2"/>
  <c r="AB87" i="2"/>
  <c r="AK86" i="2" s="1"/>
  <c r="Z87" i="2"/>
  <c r="O87" i="2"/>
  <c r="P86" i="2" s="1"/>
  <c r="L87" i="2"/>
  <c r="J87" i="2"/>
  <c r="AA87" i="2" s="1"/>
  <c r="H87" i="2"/>
  <c r="H86" i="2" s="1"/>
  <c r="T86" i="2" s="1"/>
  <c r="X86" i="2"/>
  <c r="W86" i="2"/>
  <c r="V86" i="2"/>
  <c r="S86" i="2"/>
  <c r="R86" i="2"/>
  <c r="L86" i="2"/>
  <c r="AF85" i="2"/>
  <c r="AE85" i="2"/>
  <c r="H85" i="2" s="1"/>
  <c r="I85" i="2" s="1"/>
  <c r="AB85" i="2"/>
  <c r="Z85" i="2"/>
  <c r="O85" i="2"/>
  <c r="L85" i="2"/>
  <c r="J85" i="2"/>
  <c r="AA85" i="2" s="1"/>
  <c r="AF84" i="2"/>
  <c r="AE84" i="2"/>
  <c r="AB84" i="2"/>
  <c r="Z84" i="2"/>
  <c r="O84" i="2"/>
  <c r="L84" i="2"/>
  <c r="J84" i="2"/>
  <c r="I84" i="2" s="1"/>
  <c r="H84" i="2"/>
  <c r="AF83" i="2"/>
  <c r="AE83" i="2"/>
  <c r="AB83" i="2"/>
  <c r="Z83" i="2"/>
  <c r="AI81" i="2" s="1"/>
  <c r="O83" i="2"/>
  <c r="P81" i="2" s="1"/>
  <c r="L83" i="2"/>
  <c r="J83" i="2"/>
  <c r="AA83" i="2" s="1"/>
  <c r="H83" i="2"/>
  <c r="AF82" i="2"/>
  <c r="AE82" i="2"/>
  <c r="AB82" i="2"/>
  <c r="AK81" i="2" s="1"/>
  <c r="Z82" i="2"/>
  <c r="O82" i="2"/>
  <c r="L82" i="2"/>
  <c r="L81" i="2" s="1"/>
  <c r="J82" i="2"/>
  <c r="I82" i="2" s="1"/>
  <c r="H82" i="2"/>
  <c r="X81" i="2"/>
  <c r="W81" i="2"/>
  <c r="V81" i="2"/>
  <c r="S81" i="2"/>
  <c r="R81" i="2"/>
  <c r="AF80" i="2"/>
  <c r="AE80" i="2"/>
  <c r="H80" i="2" s="1"/>
  <c r="AB80" i="2"/>
  <c r="Z80" i="2"/>
  <c r="O80" i="2"/>
  <c r="L80" i="2"/>
  <c r="J80" i="2"/>
  <c r="AA80" i="2" s="1"/>
  <c r="AF79" i="2"/>
  <c r="AE79" i="2"/>
  <c r="AB79" i="2"/>
  <c r="Z79" i="2"/>
  <c r="O79" i="2"/>
  <c r="L79" i="2"/>
  <c r="J79" i="2"/>
  <c r="AA79" i="2" s="1"/>
  <c r="I79" i="2"/>
  <c r="H79" i="2"/>
  <c r="AF78" i="2"/>
  <c r="AE78" i="2"/>
  <c r="AB78" i="2"/>
  <c r="Z78" i="2"/>
  <c r="O78" i="2"/>
  <c r="L78" i="2"/>
  <c r="J78" i="2"/>
  <c r="AA78" i="2" s="1"/>
  <c r="H78" i="2"/>
  <c r="AF77" i="2"/>
  <c r="AE77" i="2"/>
  <c r="AB77" i="2"/>
  <c r="Z77" i="2"/>
  <c r="O77" i="2"/>
  <c r="L77" i="2"/>
  <c r="J77" i="2"/>
  <c r="I77" i="2" s="1"/>
  <c r="H77" i="2"/>
  <c r="AF76" i="2"/>
  <c r="AE76" i="2"/>
  <c r="H76" i="2" s="1"/>
  <c r="H74" i="2" s="1"/>
  <c r="AB76" i="2"/>
  <c r="Z76" i="2"/>
  <c r="O76" i="2"/>
  <c r="P74" i="2" s="1"/>
  <c r="L76" i="2"/>
  <c r="L74" i="2" s="1"/>
  <c r="J76" i="2"/>
  <c r="AA76" i="2" s="1"/>
  <c r="AF75" i="2"/>
  <c r="AE75" i="2"/>
  <c r="AB75" i="2"/>
  <c r="Z75" i="2"/>
  <c r="AI74" i="2" s="1"/>
  <c r="O75" i="2"/>
  <c r="L75" i="2"/>
  <c r="J75" i="2"/>
  <c r="AA75" i="2" s="1"/>
  <c r="I75" i="2"/>
  <c r="H75" i="2"/>
  <c r="X74" i="2"/>
  <c r="W74" i="2"/>
  <c r="V74" i="2"/>
  <c r="S74" i="2"/>
  <c r="R74" i="2"/>
  <c r="AF73" i="2"/>
  <c r="AE73" i="2"/>
  <c r="AB73" i="2"/>
  <c r="Z73" i="2"/>
  <c r="O73" i="2"/>
  <c r="L73" i="2"/>
  <c r="J73" i="2"/>
  <c r="I73" i="2" s="1"/>
  <c r="H73" i="2"/>
  <c r="AF72" i="2"/>
  <c r="AE72" i="2"/>
  <c r="H72" i="2" s="1"/>
  <c r="I72" i="2" s="1"/>
  <c r="AB72" i="2"/>
  <c r="Z72" i="2"/>
  <c r="O72" i="2"/>
  <c r="L72" i="2"/>
  <c r="J72" i="2"/>
  <c r="AA72" i="2" s="1"/>
  <c r="AF71" i="2"/>
  <c r="AE71" i="2"/>
  <c r="AB71" i="2"/>
  <c r="Z71" i="2"/>
  <c r="O71" i="2"/>
  <c r="L71" i="2"/>
  <c r="J71" i="2"/>
  <c r="I71" i="2" s="1"/>
  <c r="H71" i="2"/>
  <c r="AF70" i="2"/>
  <c r="AE70" i="2"/>
  <c r="H70" i="2" s="1"/>
  <c r="AB70" i="2"/>
  <c r="Z70" i="2"/>
  <c r="O70" i="2"/>
  <c r="P68" i="2" s="1"/>
  <c r="L70" i="2"/>
  <c r="J70" i="2"/>
  <c r="AA70" i="2" s="1"/>
  <c r="AF69" i="2"/>
  <c r="AE69" i="2"/>
  <c r="AB69" i="2"/>
  <c r="AK68" i="2" s="1"/>
  <c r="Z69" i="2"/>
  <c r="O69" i="2"/>
  <c r="L69" i="2"/>
  <c r="J69" i="2"/>
  <c r="I69" i="2" s="1"/>
  <c r="H69" i="2"/>
  <c r="X68" i="2"/>
  <c r="W68" i="2"/>
  <c r="V68" i="2"/>
  <c r="S68" i="2"/>
  <c r="R68" i="2"/>
  <c r="AF67" i="2"/>
  <c r="AE67" i="2"/>
  <c r="H67" i="2" s="1"/>
  <c r="AB67" i="2"/>
  <c r="Z67" i="2"/>
  <c r="L67" i="2"/>
  <c r="J67" i="2"/>
  <c r="AA67" i="2" s="1"/>
  <c r="AF66" i="2"/>
  <c r="AE66" i="2"/>
  <c r="AB66" i="2"/>
  <c r="Z66" i="2"/>
  <c r="O66" i="2"/>
  <c r="L66" i="2"/>
  <c r="J66" i="2"/>
  <c r="AA66" i="2" s="1"/>
  <c r="I66" i="2"/>
  <c r="H66" i="2"/>
  <c r="AF65" i="2"/>
  <c r="AE65" i="2"/>
  <c r="AB65" i="2"/>
  <c r="Z65" i="2"/>
  <c r="O65" i="2"/>
  <c r="L65" i="2"/>
  <c r="J65" i="2"/>
  <c r="AA65" i="2" s="1"/>
  <c r="H65" i="2"/>
  <c r="AF64" i="2"/>
  <c r="AE64" i="2"/>
  <c r="AB64" i="2"/>
  <c r="Z64" i="2"/>
  <c r="O64" i="2"/>
  <c r="L64" i="2"/>
  <c r="J64" i="2"/>
  <c r="AA64" i="2" s="1"/>
  <c r="I64" i="2"/>
  <c r="H64" i="2"/>
  <c r="AF63" i="2"/>
  <c r="AE63" i="2"/>
  <c r="H63" i="2" s="1"/>
  <c r="H61" i="2" s="1"/>
  <c r="AB63" i="2"/>
  <c r="AK61" i="2" s="1"/>
  <c r="Z63" i="2"/>
  <c r="O63" i="2"/>
  <c r="L63" i="2"/>
  <c r="L61" i="2" s="1"/>
  <c r="J63" i="2"/>
  <c r="AA63" i="2" s="1"/>
  <c r="AF62" i="2"/>
  <c r="AE62" i="2"/>
  <c r="AB62" i="2"/>
  <c r="Z62" i="2"/>
  <c r="AI61" i="2" s="1"/>
  <c r="O62" i="2"/>
  <c r="L62" i="2"/>
  <c r="J62" i="2"/>
  <c r="AA62" i="2" s="1"/>
  <c r="AJ61" i="2" s="1"/>
  <c r="I62" i="2"/>
  <c r="H62" i="2"/>
  <c r="X61" i="2"/>
  <c r="W61" i="2"/>
  <c r="V61" i="2"/>
  <c r="S61" i="2"/>
  <c r="R61" i="2"/>
  <c r="AF60" i="2"/>
  <c r="AE60" i="2"/>
  <c r="AB60" i="2"/>
  <c r="Z60" i="2"/>
  <c r="O60" i="2"/>
  <c r="L60" i="2"/>
  <c r="J60" i="2"/>
  <c r="I60" i="2" s="1"/>
  <c r="H60" i="2"/>
  <c r="AF59" i="2"/>
  <c r="AE59" i="2"/>
  <c r="AB59" i="2"/>
  <c r="Z59" i="2"/>
  <c r="O59" i="2"/>
  <c r="L59" i="2"/>
  <c r="J59" i="2"/>
  <c r="AA59" i="2" s="1"/>
  <c r="H59" i="2"/>
  <c r="I59" i="2" s="1"/>
  <c r="AF58" i="2"/>
  <c r="AE58" i="2"/>
  <c r="AB58" i="2"/>
  <c r="Z58" i="2"/>
  <c r="O58" i="2"/>
  <c r="L58" i="2"/>
  <c r="J58" i="2"/>
  <c r="I58" i="2" s="1"/>
  <c r="H58" i="2"/>
  <c r="AF57" i="2"/>
  <c r="AE57" i="2"/>
  <c r="H57" i="2" s="1"/>
  <c r="I57" i="2" s="1"/>
  <c r="AB57" i="2"/>
  <c r="Z57" i="2"/>
  <c r="O57" i="2"/>
  <c r="L57" i="2"/>
  <c r="J57" i="2"/>
  <c r="AA57" i="2" s="1"/>
  <c r="AF56" i="2"/>
  <c r="AE56" i="2"/>
  <c r="AB56" i="2"/>
  <c r="Z56" i="2"/>
  <c r="O56" i="2"/>
  <c r="L56" i="2"/>
  <c r="J56" i="2"/>
  <c r="I56" i="2" s="1"/>
  <c r="H56" i="2"/>
  <c r="AF55" i="2"/>
  <c r="AE55" i="2"/>
  <c r="AB55" i="2"/>
  <c r="Z55" i="2"/>
  <c r="O55" i="2"/>
  <c r="L55" i="2"/>
  <c r="J55" i="2"/>
  <c r="AA55" i="2" s="1"/>
  <c r="H55" i="2"/>
  <c r="I55" i="2" s="1"/>
  <c r="AF54" i="2"/>
  <c r="AE54" i="2"/>
  <c r="AB54" i="2"/>
  <c r="Z54" i="2"/>
  <c r="O54" i="2"/>
  <c r="L54" i="2"/>
  <c r="J54" i="2"/>
  <c r="I54" i="2" s="1"/>
  <c r="H54" i="2"/>
  <c r="AF53" i="2"/>
  <c r="AE53" i="2"/>
  <c r="H53" i="2" s="1"/>
  <c r="I53" i="2" s="1"/>
  <c r="AB53" i="2"/>
  <c r="Z53" i="2"/>
  <c r="O53" i="2"/>
  <c r="L53" i="2"/>
  <c r="J53" i="2"/>
  <c r="AA53" i="2" s="1"/>
  <c r="AF52" i="2"/>
  <c r="AE52" i="2"/>
  <c r="AB52" i="2"/>
  <c r="Z52" i="2"/>
  <c r="O52" i="2"/>
  <c r="L52" i="2"/>
  <c r="J52" i="2"/>
  <c r="I52" i="2" s="1"/>
  <c r="H52" i="2"/>
  <c r="AF51" i="2"/>
  <c r="AE51" i="2"/>
  <c r="AB51" i="2"/>
  <c r="Z51" i="2"/>
  <c r="AI49" i="2" s="1"/>
  <c r="O51" i="2"/>
  <c r="P49" i="2" s="1"/>
  <c r="L51" i="2"/>
  <c r="J51" i="2"/>
  <c r="AA51" i="2" s="1"/>
  <c r="H51" i="2"/>
  <c r="AF50" i="2"/>
  <c r="AE50" i="2"/>
  <c r="AB50" i="2"/>
  <c r="AK49" i="2" s="1"/>
  <c r="Z50" i="2"/>
  <c r="O50" i="2"/>
  <c r="L50" i="2"/>
  <c r="L49" i="2" s="1"/>
  <c r="J50" i="2"/>
  <c r="I50" i="2" s="1"/>
  <c r="H50" i="2"/>
  <c r="X49" i="2"/>
  <c r="W49" i="2"/>
  <c r="V49" i="2"/>
  <c r="S49" i="2"/>
  <c r="R49" i="2"/>
  <c r="AF48" i="2"/>
  <c r="AE48" i="2"/>
  <c r="H48" i="2" s="1"/>
  <c r="AB48" i="2"/>
  <c r="Z48" i="2"/>
  <c r="O48" i="2"/>
  <c r="L48" i="2"/>
  <c r="J48" i="2"/>
  <c r="AA48" i="2" s="1"/>
  <c r="AF47" i="2"/>
  <c r="AE47" i="2"/>
  <c r="AB47" i="2"/>
  <c r="Z47" i="2"/>
  <c r="O47" i="2"/>
  <c r="L47" i="2"/>
  <c r="J47" i="2"/>
  <c r="AA47" i="2" s="1"/>
  <c r="I47" i="2"/>
  <c r="H47" i="2"/>
  <c r="AF46" i="2"/>
  <c r="AE46" i="2"/>
  <c r="AB46" i="2"/>
  <c r="Z46" i="2"/>
  <c r="O46" i="2"/>
  <c r="L46" i="2"/>
  <c r="J46" i="2"/>
  <c r="AA46" i="2" s="1"/>
  <c r="H46" i="2"/>
  <c r="AF45" i="2"/>
  <c r="AE45" i="2"/>
  <c r="AB45" i="2"/>
  <c r="Z45" i="2"/>
  <c r="O45" i="2"/>
  <c r="L45" i="2"/>
  <c r="J45" i="2"/>
  <c r="I45" i="2" s="1"/>
  <c r="H45" i="2"/>
  <c r="AF44" i="2"/>
  <c r="AE44" i="2"/>
  <c r="H44" i="2" s="1"/>
  <c r="H43" i="2" s="1"/>
  <c r="AB44" i="2"/>
  <c r="Z44" i="2"/>
  <c r="O44" i="2"/>
  <c r="P43" i="2" s="1"/>
  <c r="L44" i="2"/>
  <c r="L43" i="2" s="1"/>
  <c r="J44" i="2"/>
  <c r="AA44" i="2" s="1"/>
  <c r="AK43" i="2"/>
  <c r="X43" i="2"/>
  <c r="W43" i="2"/>
  <c r="V43" i="2"/>
  <c r="S43" i="2"/>
  <c r="R43" i="2"/>
  <c r="X42" i="2"/>
  <c r="W42" i="2"/>
  <c r="V42" i="2"/>
  <c r="U42" i="2"/>
  <c r="T42" i="2"/>
  <c r="S42" i="2"/>
  <c r="R42" i="2"/>
  <c r="AF41" i="2"/>
  <c r="AE41" i="2"/>
  <c r="H41" i="2" s="1"/>
  <c r="AB41" i="2"/>
  <c r="Z41" i="2"/>
  <c r="L41" i="2"/>
  <c r="J41" i="2"/>
  <c r="AA41" i="2" s="1"/>
  <c r="AF40" i="2"/>
  <c r="AE40" i="2"/>
  <c r="AB40" i="2"/>
  <c r="Z40" i="2"/>
  <c r="AI38" i="2" s="1"/>
  <c r="O40" i="2"/>
  <c r="L40" i="2"/>
  <c r="J40" i="2"/>
  <c r="AA40" i="2" s="1"/>
  <c r="H40" i="2"/>
  <c r="I40" i="2" s="1"/>
  <c r="AF39" i="2"/>
  <c r="AE39" i="2"/>
  <c r="AB39" i="2"/>
  <c r="AK38" i="2" s="1"/>
  <c r="Z39" i="2"/>
  <c r="O39" i="2"/>
  <c r="L39" i="2"/>
  <c r="L38" i="2" s="1"/>
  <c r="J39" i="2"/>
  <c r="I39" i="2" s="1"/>
  <c r="H39" i="2"/>
  <c r="X38" i="2"/>
  <c r="W38" i="2"/>
  <c r="V38" i="2"/>
  <c r="S38" i="2"/>
  <c r="R38" i="2"/>
  <c r="AF37" i="2"/>
  <c r="AE37" i="2"/>
  <c r="AB37" i="2"/>
  <c r="AK36" i="2" s="1"/>
  <c r="Z37" i="2"/>
  <c r="AI36" i="2" s="1"/>
  <c r="O37" i="2"/>
  <c r="L37" i="2"/>
  <c r="J37" i="2"/>
  <c r="AA37" i="2" s="1"/>
  <c r="AJ36" i="2" s="1"/>
  <c r="I37" i="2"/>
  <c r="I36" i="2" s="1"/>
  <c r="S36" i="2" s="1"/>
  <c r="H37" i="2"/>
  <c r="X36" i="2"/>
  <c r="W36" i="2"/>
  <c r="V36" i="2"/>
  <c r="U36" i="2"/>
  <c r="T36" i="2"/>
  <c r="P36" i="2"/>
  <c r="L36" i="2"/>
  <c r="H36" i="2"/>
  <c r="R36" i="2" s="1"/>
  <c r="X35" i="2"/>
  <c r="W35" i="2"/>
  <c r="V35" i="2"/>
  <c r="U35" i="2"/>
  <c r="T35" i="2"/>
  <c r="S35" i="2"/>
  <c r="R35" i="2"/>
  <c r="J35" i="2"/>
  <c r="AF34" i="2"/>
  <c r="AE34" i="2"/>
  <c r="AB34" i="2"/>
  <c r="Z34" i="2"/>
  <c r="AI32" i="2" s="1"/>
  <c r="O34" i="2"/>
  <c r="L34" i="2"/>
  <c r="J34" i="2"/>
  <c r="AA34" i="2" s="1"/>
  <c r="H34" i="2"/>
  <c r="AF33" i="2"/>
  <c r="AE33" i="2"/>
  <c r="AB33" i="2"/>
  <c r="Z33" i="2"/>
  <c r="O33" i="2"/>
  <c r="L33" i="2"/>
  <c r="J33" i="2"/>
  <c r="H33" i="2"/>
  <c r="H32" i="2" s="1"/>
  <c r="R32" i="2" s="1"/>
  <c r="AK32" i="2"/>
  <c r="X32" i="2"/>
  <c r="W32" i="2"/>
  <c r="V32" i="2"/>
  <c r="U32" i="2"/>
  <c r="T32" i="2"/>
  <c r="L32" i="2"/>
  <c r="X31" i="2"/>
  <c r="W31" i="2"/>
  <c r="V31" i="2"/>
  <c r="U31" i="2"/>
  <c r="T31" i="2"/>
  <c r="S31" i="2"/>
  <c r="R31" i="2"/>
  <c r="J31" i="2"/>
  <c r="AF30" i="2"/>
  <c r="AE30" i="2"/>
  <c r="AB30" i="2"/>
  <c r="AK29" i="2" s="1"/>
  <c r="Z30" i="2"/>
  <c r="AI29" i="2" s="1"/>
  <c r="O30" i="2"/>
  <c r="P29" i="2" s="1"/>
  <c r="L30" i="2"/>
  <c r="J30" i="2"/>
  <c r="AA30" i="2" s="1"/>
  <c r="AJ29" i="2" s="1"/>
  <c r="I30" i="2"/>
  <c r="I29" i="2" s="1"/>
  <c r="S29" i="2" s="1"/>
  <c r="H30" i="2"/>
  <c r="X29" i="2"/>
  <c r="W29" i="2"/>
  <c r="V29" i="2"/>
  <c r="U29" i="2"/>
  <c r="T29" i="2"/>
  <c r="L29" i="2"/>
  <c r="J29" i="2"/>
  <c r="H29" i="2"/>
  <c r="R29" i="2" s="1"/>
  <c r="AF28" i="2"/>
  <c r="AE28" i="2"/>
  <c r="AB28" i="2"/>
  <c r="Z28" i="2"/>
  <c r="AI26" i="2" s="1"/>
  <c r="O28" i="2"/>
  <c r="L28" i="2"/>
  <c r="J28" i="2"/>
  <c r="AA28" i="2" s="1"/>
  <c r="H28" i="2"/>
  <c r="AF27" i="2"/>
  <c r="AE27" i="2"/>
  <c r="AB27" i="2"/>
  <c r="Z27" i="2"/>
  <c r="O27" i="2"/>
  <c r="P26" i="2" s="1"/>
  <c r="L27" i="2"/>
  <c r="J27" i="2"/>
  <c r="AA27" i="2" s="1"/>
  <c r="AJ26" i="2" s="1"/>
  <c r="H27" i="2"/>
  <c r="H26" i="2" s="1"/>
  <c r="AK26" i="2"/>
  <c r="X26" i="2"/>
  <c r="W26" i="2"/>
  <c r="V26" i="2"/>
  <c r="U26" i="2"/>
  <c r="T26" i="2"/>
  <c r="L26" i="2"/>
  <c r="AF25" i="2"/>
  <c r="AE25" i="2"/>
  <c r="AB25" i="2"/>
  <c r="Z25" i="2"/>
  <c r="AI23" i="2" s="1"/>
  <c r="O25" i="2"/>
  <c r="P23" i="2" s="1"/>
  <c r="L25" i="2"/>
  <c r="J25" i="2"/>
  <c r="AA25" i="2" s="1"/>
  <c r="AJ23" i="2" s="1"/>
  <c r="H25" i="2"/>
  <c r="H23" i="2" s="1"/>
  <c r="AF24" i="2"/>
  <c r="AE24" i="2"/>
  <c r="AB24" i="2"/>
  <c r="AA24" i="2"/>
  <c r="Z24" i="2"/>
  <c r="O24" i="2"/>
  <c r="L24" i="2"/>
  <c r="L23" i="2" s="1"/>
  <c r="J24" i="2"/>
  <c r="I24" i="2" s="1"/>
  <c r="H24" i="2"/>
  <c r="AK23" i="2"/>
  <c r="X23" i="2"/>
  <c r="W23" i="2"/>
  <c r="V23" i="2"/>
  <c r="U23" i="2"/>
  <c r="T23" i="2"/>
  <c r="X22" i="2"/>
  <c r="W22" i="2"/>
  <c r="V22" i="2"/>
  <c r="U22" i="2"/>
  <c r="T22" i="2"/>
  <c r="S22" i="2"/>
  <c r="R22" i="2"/>
  <c r="J22" i="2"/>
  <c r="AF21" i="2"/>
  <c r="AE21" i="2"/>
  <c r="AB21" i="2"/>
  <c r="Z21" i="2"/>
  <c r="O21" i="2"/>
  <c r="P20" i="2" s="1"/>
  <c r="L21" i="2"/>
  <c r="L20" i="2" s="1"/>
  <c r="J21" i="2"/>
  <c r="AA21" i="2" s="1"/>
  <c r="AJ20" i="2" s="1"/>
  <c r="H21" i="2"/>
  <c r="H20" i="2" s="1"/>
  <c r="AK20" i="2"/>
  <c r="AI20" i="2"/>
  <c r="X20" i="2"/>
  <c r="W20" i="2"/>
  <c r="V20" i="2"/>
  <c r="U20" i="2"/>
  <c r="T20" i="2"/>
  <c r="AF19" i="2"/>
  <c r="AE19" i="2"/>
  <c r="AB19" i="2"/>
  <c r="Z19" i="2"/>
  <c r="O19" i="2"/>
  <c r="P18" i="2" s="1"/>
  <c r="L19" i="2"/>
  <c r="J19" i="2"/>
  <c r="AA19" i="2" s="1"/>
  <c r="AJ18" i="2" s="1"/>
  <c r="H19" i="2"/>
  <c r="I19" i="2" s="1"/>
  <c r="I18" i="2" s="1"/>
  <c r="AK18" i="2"/>
  <c r="AI18" i="2"/>
  <c r="X18" i="2"/>
  <c r="W18" i="2"/>
  <c r="V18" i="2"/>
  <c r="U18" i="2"/>
  <c r="T18" i="2"/>
  <c r="L18" i="2"/>
  <c r="AF17" i="2"/>
  <c r="AE17" i="2"/>
  <c r="AB17" i="2"/>
  <c r="Z17" i="2"/>
  <c r="O17" i="2"/>
  <c r="L17" i="2"/>
  <c r="J17" i="2"/>
  <c r="AA17" i="2" s="1"/>
  <c r="AJ16" i="2" s="1"/>
  <c r="I17" i="2"/>
  <c r="I16" i="2" s="1"/>
  <c r="S16" i="2" s="1"/>
  <c r="H17" i="2"/>
  <c r="AK16" i="2"/>
  <c r="AI16" i="2"/>
  <c r="X16" i="2"/>
  <c r="W16" i="2"/>
  <c r="V16" i="2"/>
  <c r="U16" i="2"/>
  <c r="T16" i="2"/>
  <c r="P16" i="2"/>
  <c r="L16" i="2"/>
  <c r="H16" i="2"/>
  <c r="R16" i="2" s="1"/>
  <c r="AF15" i="2"/>
  <c r="AE15" i="2"/>
  <c r="AB15" i="2"/>
  <c r="Z15" i="2"/>
  <c r="O15" i="2"/>
  <c r="L15" i="2"/>
  <c r="L14" i="2" s="1"/>
  <c r="J15" i="2"/>
  <c r="I15" i="2" s="1"/>
  <c r="I14" i="2" s="1"/>
  <c r="H15" i="2"/>
  <c r="AK14" i="2"/>
  <c r="AI14" i="2"/>
  <c r="X14" i="2"/>
  <c r="W14" i="2"/>
  <c r="V14" i="2"/>
  <c r="U14" i="2"/>
  <c r="T14" i="2"/>
  <c r="R14" i="2"/>
  <c r="P14" i="2"/>
  <c r="H14" i="2"/>
  <c r="AF13" i="2"/>
  <c r="AE13" i="2"/>
  <c r="AB13" i="2"/>
  <c r="AB121" i="2" s="1"/>
  <c r="Z13" i="2"/>
  <c r="Z121" i="2" s="1"/>
  <c r="O13" i="2"/>
  <c r="P12" i="2" s="1"/>
  <c r="L13" i="2"/>
  <c r="L12" i="2" s="1"/>
  <c r="J13" i="2"/>
  <c r="AA13" i="2" s="1"/>
  <c r="H13" i="2"/>
  <c r="H12" i="2" s="1"/>
  <c r="AK12" i="2"/>
  <c r="AI12" i="2"/>
  <c r="X12" i="2"/>
  <c r="W12" i="2"/>
  <c r="V12" i="2"/>
  <c r="U12" i="2"/>
  <c r="T12" i="2"/>
  <c r="R12" i="2" l="1"/>
  <c r="AJ74" i="2"/>
  <c r="AJ12" i="2"/>
  <c r="T98" i="2"/>
  <c r="U109" i="2"/>
  <c r="J109" i="2"/>
  <c r="V114" i="2"/>
  <c r="R26" i="2"/>
  <c r="R20" i="2"/>
  <c r="J20" i="2"/>
  <c r="T43" i="2"/>
  <c r="I49" i="2"/>
  <c r="U49" i="2" s="1"/>
  <c r="T61" i="2"/>
  <c r="H68" i="2"/>
  <c r="I70" i="2"/>
  <c r="I68" i="2" s="1"/>
  <c r="U68" i="2" s="1"/>
  <c r="T74" i="2"/>
  <c r="I81" i="2"/>
  <c r="U81" i="2" s="1"/>
  <c r="S18" i="2"/>
  <c r="J14" i="2"/>
  <c r="S14" i="2"/>
  <c r="R23" i="2"/>
  <c r="AA45" i="2"/>
  <c r="AJ43" i="2" s="1"/>
  <c r="AA50" i="2"/>
  <c r="H49" i="2"/>
  <c r="AA54" i="2"/>
  <c r="H81" i="2"/>
  <c r="H92" i="2"/>
  <c r="AA110" i="2"/>
  <c r="AJ109" i="2" s="1"/>
  <c r="I33" i="2"/>
  <c r="I51" i="2"/>
  <c r="AA69" i="2"/>
  <c r="AA73" i="2"/>
  <c r="I83" i="2"/>
  <c r="AJ86" i="2"/>
  <c r="AJ92" i="2"/>
  <c r="H104" i="2"/>
  <c r="J36" i="2"/>
  <c r="AA77" i="2"/>
  <c r="H18" i="2"/>
  <c r="I25" i="2"/>
  <c r="I23" i="2" s="1"/>
  <c r="I27" i="2"/>
  <c r="AA33" i="2"/>
  <c r="AJ32" i="2" s="1"/>
  <c r="I13" i="2"/>
  <c r="I12" i="2" s="1"/>
  <c r="S12" i="2" s="1"/>
  <c r="J16" i="2"/>
  <c r="I21" i="2"/>
  <c r="I20" i="2" s="1"/>
  <c r="S20" i="2" s="1"/>
  <c r="I28" i="2"/>
  <c r="I34" i="2"/>
  <c r="P38" i="2"/>
  <c r="AA52" i="2"/>
  <c r="AA56" i="2"/>
  <c r="AA60" i="2"/>
  <c r="L68" i="2"/>
  <c r="AI68" i="2"/>
  <c r="AA84" i="2"/>
  <c r="AJ104" i="2"/>
  <c r="AK114" i="2"/>
  <c r="AA15" i="2"/>
  <c r="AJ14" i="2" s="1"/>
  <c r="AA39" i="2"/>
  <c r="AJ38" i="2" s="1"/>
  <c r="AA58" i="2"/>
  <c r="AA82" i="2"/>
  <c r="AJ81" i="2" s="1"/>
  <c r="P32" i="2"/>
  <c r="H38" i="2"/>
  <c r="AI43" i="2"/>
  <c r="AA71" i="2"/>
  <c r="AK74" i="2"/>
  <c r="P92" i="2"/>
  <c r="I96" i="2"/>
  <c r="O96" i="2" s="1"/>
  <c r="L114" i="2"/>
  <c r="C22" i="3"/>
  <c r="C25" i="3"/>
  <c r="I25" i="3" s="1"/>
  <c r="I26" i="3" s="1"/>
  <c r="I41" i="2"/>
  <c r="O41" i="2" s="1"/>
  <c r="I44" i="2"/>
  <c r="I46" i="2"/>
  <c r="I48" i="2"/>
  <c r="I63" i="2"/>
  <c r="I65" i="2"/>
  <c r="I67" i="2"/>
  <c r="O67" i="2" s="1"/>
  <c r="P61" i="2" s="1"/>
  <c r="I76" i="2"/>
  <c r="I74" i="2" s="1"/>
  <c r="I78" i="2"/>
  <c r="I80" i="2"/>
  <c r="I87" i="2"/>
  <c r="I86" i="2" s="1"/>
  <c r="U86" i="2" s="1"/>
  <c r="I93" i="2"/>
  <c r="I92" i="2" s="1"/>
  <c r="U92" i="2" s="1"/>
  <c r="I95" i="2"/>
  <c r="I100" i="2"/>
  <c r="I102" i="2"/>
  <c r="O102" i="2" s="1"/>
  <c r="P98" i="2" s="1"/>
  <c r="I105" i="2"/>
  <c r="I104" i="2" s="1"/>
  <c r="I107" i="2"/>
  <c r="O107" i="2" s="1"/>
  <c r="P104" i="2" s="1"/>
  <c r="I116" i="2"/>
  <c r="I118" i="2"/>
  <c r="I114" i="2" s="1"/>
  <c r="I120" i="2"/>
  <c r="S23" i="2" l="1"/>
  <c r="J23" i="2"/>
  <c r="U74" i="2"/>
  <c r="J74" i="2"/>
  <c r="W114" i="2"/>
  <c r="J114" i="2"/>
  <c r="T104" i="2"/>
  <c r="J104" i="2"/>
  <c r="J86" i="2"/>
  <c r="J18" i="2"/>
  <c r="R18" i="2"/>
  <c r="T49" i="2"/>
  <c r="J49" i="2"/>
  <c r="T68" i="2"/>
  <c r="J68" i="2"/>
  <c r="I98" i="2"/>
  <c r="I43" i="2"/>
  <c r="T38" i="2"/>
  <c r="T92" i="2"/>
  <c r="J92" i="2"/>
  <c r="AA121" i="2"/>
  <c r="J12" i="2"/>
  <c r="U104" i="2"/>
  <c r="AJ68" i="2"/>
  <c r="I61" i="2"/>
  <c r="I26" i="2"/>
  <c r="I32" i="2"/>
  <c r="T81" i="2"/>
  <c r="J81" i="2"/>
  <c r="AJ49" i="2"/>
  <c r="I38" i="2"/>
  <c r="U38" i="2" s="1"/>
  <c r="S26" i="2" l="1"/>
  <c r="J26" i="2"/>
  <c r="J38" i="2"/>
  <c r="S32" i="2"/>
  <c r="J32" i="2"/>
  <c r="U98" i="2"/>
  <c r="J98" i="2"/>
  <c r="J121" i="2"/>
  <c r="U61" i="2"/>
  <c r="J61" i="2"/>
  <c r="U43" i="2"/>
  <c r="J43" i="2"/>
</calcChain>
</file>

<file path=xl/sharedStrings.xml><?xml version="1.0" encoding="utf-8"?>
<sst xmlns="http://schemas.openxmlformats.org/spreadsheetml/2006/main" count="578" uniqueCount="383">
  <si>
    <t>Tento dokument byl exportován z Numbers. Všechny tabulky byly převedeny do pracovních listů Excel. Všechny ostatní objekty ze všech listů Numbers byly umístěny na samostatné pracovní listy. Je možné, že výpočty vzorců budou v aplikaci Excel odlišné.</t>
  </si>
  <si>
    <t>Název listu Numbers</t>
  </si>
  <si>
    <t>Název tabulky Numbers</t>
  </si>
  <si>
    <t>Název pracovního listu Excel</t>
  </si>
  <si>
    <t>Tabulka 1</t>
  </si>
  <si>
    <t>Stavební rozpočet</t>
  </si>
  <si>
    <r>
      <rPr>
        <u/>
        <sz val="12"/>
        <color indexed="11"/>
        <rFont val="Arial"/>
      </rPr>
      <t>Stavební rozpočet</t>
    </r>
  </si>
  <si>
    <t>Krycí list rozpočtu</t>
  </si>
  <si>
    <t>Číslo zakázky</t>
  </si>
  <si>
    <t>Doba výstavby:</t>
  </si>
  <si>
    <t>Objednatel:</t>
  </si>
  <si>
    <t>Název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</si>
  <si>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</si>
  <si>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</si>
  <si>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</si>
  <si>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</si>
  <si>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</si>
  <si>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</si>
  <si>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</si>
  <si>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</si>
  <si>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Filip Damek</t>
  </si>
  <si>
    <t xml:space="preserve"> </t>
  </si>
  <si>
    <t>Jednot.</t>
  </si>
  <si>
    <t>Náklady (Kč)</t>
  </si>
  <si>
    <t>Hmotnost (t)</t>
  </si>
  <si>
    <t>Č</t>
  </si>
  <si>
    <t>Objekt</t>
  </si>
  <si>
    <t>Kód</t>
  </si>
  <si>
    <t>Zkrácený popis</t>
  </si>
  <si>
    <t>M.j.</t>
  </si>
  <si>
    <t>Množství</t>
  </si>
  <si>
    <t>cena (Kč)</t>
  </si>
  <si>
    <t>Dodávka</t>
  </si>
  <si>
    <t>Montáž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</si>
  <si>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</si>
  <si>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</si>
  <si>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</si>
  <si>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</si>
  <si>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</si>
  <si>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</si>
  <si>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</si>
  <si>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</si>
  <si>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</si>
  <si>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</si>
  <si>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12</t>
  </si>
  <si>
    <t>Odkopávky a prokopávky</t>
  </si>
  <si>
    <t>HS</t>
  </si>
  <si>
    <t>1</t>
  </si>
  <si>
    <t>121101101R00</t>
  </si>
  <si>
    <t>Sejmutí ornice s přemístěním do 50 m</t>
  </si>
  <si>
    <t>m3</t>
  </si>
  <si>
    <t>13</t>
  </si>
  <si>
    <t>Hloubené vykopávky</t>
  </si>
  <si>
    <t>4</t>
  </si>
  <si>
    <t>132201201R00</t>
  </si>
  <si>
    <t>Hloubení rýh šířky do 200 cm v hor.3 do 100 m3</t>
  </si>
  <si>
    <t>16</t>
  </si>
  <si>
    <t>Přemístění výkopku</t>
  </si>
  <si>
    <t>6</t>
  </si>
  <si>
    <t>162207111R00</t>
  </si>
  <si>
    <t>Vodorovné přemístění výkopku hor. 1-4 do 50 m</t>
  </si>
  <si>
    <t>17</t>
  </si>
  <si>
    <t>Konstrukce ze zemin</t>
  </si>
  <si>
    <t>7</t>
  </si>
  <si>
    <t>174105111R00</t>
  </si>
  <si>
    <t>Zásyp sypaninou se zhutněním</t>
  </si>
  <si>
    <t>18</t>
  </si>
  <si>
    <t>Povrchové úpravy terénu</t>
  </si>
  <si>
    <t>8</t>
  </si>
  <si>
    <t>181006116R00</t>
  </si>
  <si>
    <t>Rozprostření zemin v rov./sklonu 1:5, tl. do 50 cm</t>
  </si>
  <si>
    <t>m2</t>
  </si>
  <si>
    <t>27</t>
  </si>
  <si>
    <t>Základy</t>
  </si>
  <si>
    <t>31</t>
  </si>
  <si>
    <t>Zdi podpěrné a volné</t>
  </si>
  <si>
    <t>24</t>
  </si>
  <si>
    <t>311238212R00</t>
  </si>
  <si>
    <t>Zazdění otvoru tl. 35 cm ze zdivo XXX na MC 10</t>
  </si>
  <si>
    <t>36</t>
  </si>
  <si>
    <t>311230012RAB</t>
  </si>
  <si>
    <t>Bourací práce zdiva</t>
  </si>
  <si>
    <t>3</t>
  </si>
  <si>
    <t>34</t>
  </si>
  <si>
    <t>Stěny a příčky</t>
  </si>
  <si>
    <t>39</t>
  </si>
  <si>
    <t>342248112R00</t>
  </si>
  <si>
    <t>Zdivo nenosné pro příčku na lepidlo tl. 15 cm</t>
  </si>
  <si>
    <t>42</t>
  </si>
  <si>
    <t>317168111R00</t>
  </si>
  <si>
    <t>Překlad XXX plochý 11,5/7,1/100 cm</t>
  </si>
  <si>
    <t>kus</t>
  </si>
  <si>
    <t>41</t>
  </si>
  <si>
    <t>Stropy a stropní konstrukce (pro pozemní stavby)</t>
  </si>
  <si>
    <t>55</t>
  </si>
  <si>
    <t>416021126R00</t>
  </si>
  <si>
    <t>Pouzdro SDK na skrytí vedení potrubí, uchycení na kovovou.kci CD. tl desky 20 mm</t>
  </si>
  <si>
    <t>Úpravy povrchů,podlahy a osazování výplní otvorů</t>
  </si>
  <si>
    <t>61</t>
  </si>
  <si>
    <t>Úprava povrchů vnitřní</t>
  </si>
  <si>
    <t>60</t>
  </si>
  <si>
    <t>612421637R00</t>
  </si>
  <si>
    <t>Omítka vnitřní zdiva - MVC, štuková</t>
  </si>
  <si>
    <t>611421133R00</t>
  </si>
  <si>
    <t>Omítka vnitřní stropů rovných - MVC, štuková</t>
  </si>
  <si>
    <t>62</t>
  </si>
  <si>
    <t>Úprava povrchů vnější</t>
  </si>
  <si>
    <t>63</t>
  </si>
  <si>
    <t>Podlahy a podlahové konstrukce</t>
  </si>
  <si>
    <t>65</t>
  </si>
  <si>
    <t>631313611R00</t>
  </si>
  <si>
    <t>Mazanina betonová tl. 12 cm C 16/20  (B 20)</t>
  </si>
  <si>
    <t>711</t>
  </si>
  <si>
    <t>Izolace proti vodě a vlhkosti</t>
  </si>
  <si>
    <t>PS</t>
  </si>
  <si>
    <t>69</t>
  </si>
  <si>
    <t>711112001RZ1</t>
  </si>
  <si>
    <t>Izolace proti vlhkosti svis. nátěr Bornit, za studena</t>
  </si>
  <si>
    <t>70</t>
  </si>
  <si>
    <t>711111001RZ1</t>
  </si>
  <si>
    <t>Izolace proti vlhkosti vodor. nátěr Bornit za studena</t>
  </si>
  <si>
    <t>72</t>
  </si>
  <si>
    <t>998711102R00</t>
  </si>
  <si>
    <t>Přesun hmot pro izolace proti vodě, výšky do 12 m</t>
  </si>
  <si>
    <t>t</t>
  </si>
  <si>
    <t>5</t>
  </si>
  <si>
    <t>713</t>
  </si>
  <si>
    <t>Izolace tepelné</t>
  </si>
  <si>
    <t>721</t>
  </si>
  <si>
    <t>Vnitřní kanalizace</t>
  </si>
  <si>
    <t>95</t>
  </si>
  <si>
    <t>721176223R00</t>
  </si>
  <si>
    <t>Potrubí KG svodné (ležaté) v zemi DN 40 (umyvadlo+kotel), 50 (žlábky), 100 (výlevka, celkové odpadní)</t>
  </si>
  <si>
    <t>m</t>
  </si>
  <si>
    <t>99</t>
  </si>
  <si>
    <t>721176113R00</t>
  </si>
  <si>
    <t>Potrubí HT odpadní svislé DN 40, 50, 100</t>
  </si>
  <si>
    <t>104</t>
  </si>
  <si>
    <t>721273160R00</t>
  </si>
  <si>
    <t>Boční odvětrání kanalizace, mřížka</t>
  </si>
  <si>
    <t>107</t>
  </si>
  <si>
    <t>721194105RM1</t>
  </si>
  <si>
    <t>Vyvedení odpadních výpustek vč. zápachových uzávěrek</t>
  </si>
  <si>
    <t>108</t>
  </si>
  <si>
    <t>721290111R00</t>
  </si>
  <si>
    <t>Zkouška těsnosti kanalizace vodou do DN 125</t>
  </si>
  <si>
    <t>722</t>
  </si>
  <si>
    <t>Vnitřní vodovod</t>
  </si>
  <si>
    <t>111</t>
  </si>
  <si>
    <t>722174311R00</t>
  </si>
  <si>
    <t>Potrubí DN 20</t>
  </si>
  <si>
    <t>113</t>
  </si>
  <si>
    <t>722175212R00</t>
  </si>
  <si>
    <t>Potrubí DN 25</t>
  </si>
  <si>
    <t>115</t>
  </si>
  <si>
    <t>28377013</t>
  </si>
  <si>
    <t>Izolace potrubí Tubex 20 x 10 mm</t>
  </si>
  <si>
    <t>0</t>
  </si>
  <si>
    <t>116</t>
  </si>
  <si>
    <t>28377014</t>
  </si>
  <si>
    <t>Izolace potrubí Tubex 25 x 10 mm</t>
  </si>
  <si>
    <t>118</t>
  </si>
  <si>
    <t>722239102R00</t>
  </si>
  <si>
    <t>Montáž vodovodních armatur (ventilů, kohoutů. apod.)</t>
  </si>
  <si>
    <t>119</t>
  </si>
  <si>
    <t>42231507</t>
  </si>
  <si>
    <t>Kohout kulový  PN16  DN 32</t>
  </si>
  <si>
    <t>122</t>
  </si>
  <si>
    <t>28654205</t>
  </si>
  <si>
    <t>Redukce vnitřní/vnější PPR</t>
  </si>
  <si>
    <t>125</t>
  </si>
  <si>
    <t>722190401R00</t>
  </si>
  <si>
    <t>Vyvedení a upevnění výpustek DN 15/20/25</t>
  </si>
  <si>
    <t>127</t>
  </si>
  <si>
    <t>722190901R00</t>
  </si>
  <si>
    <t>Uzavření/otevření vodovodního potrubí při opravě</t>
  </si>
  <si>
    <t>128</t>
  </si>
  <si>
    <t>55141030</t>
  </si>
  <si>
    <t>Ventil rohový mosazný</t>
  </si>
  <si>
    <t>129</t>
  </si>
  <si>
    <t>722290226R00</t>
  </si>
  <si>
    <t>Zkouška tlaku potrubí do DN 50</t>
  </si>
  <si>
    <t>723</t>
  </si>
  <si>
    <t>Vnitřní plynovod</t>
  </si>
  <si>
    <t>133</t>
  </si>
  <si>
    <t>723164104RT1</t>
  </si>
  <si>
    <t>Montáž potrubí z měděných trubek D 22 mm - dokoupení - dodělávky</t>
  </si>
  <si>
    <t>135</t>
  </si>
  <si>
    <t>42237025.A</t>
  </si>
  <si>
    <t>Kohout kulový  DN25  plyn</t>
  </si>
  <si>
    <t>136</t>
  </si>
  <si>
    <t>42237024.A</t>
  </si>
  <si>
    <t>Kohout kulový  DN15  plyn</t>
  </si>
  <si>
    <t>137</t>
  </si>
  <si>
    <t>Revize plyn</t>
  </si>
  <si>
    <t>138</t>
  </si>
  <si>
    <t>723-14VD</t>
  </si>
  <si>
    <t>Kotel kondenzační plynový, vč zásobníku na kondenzát pro výhřev vody, odkouření (cca 10000 z ceny)</t>
  </si>
  <si>
    <t>kompl</t>
  </si>
  <si>
    <t>139</t>
  </si>
  <si>
    <t>998723102R00</t>
  </si>
  <si>
    <t>Přesun hmot pro vnitřní plynovod, výšky do 12 m</t>
  </si>
  <si>
    <t>725</t>
  </si>
  <si>
    <t>Zařizovací předměty</t>
  </si>
  <si>
    <t>140</t>
  </si>
  <si>
    <t>725319101R00</t>
  </si>
  <si>
    <t>Montáž výlevka + dodávka</t>
  </si>
  <si>
    <t>soubor</t>
  </si>
  <si>
    <t>141</t>
  </si>
  <si>
    <t>725219401R00VD</t>
  </si>
  <si>
    <t>Montáž umyvadel na šrouby do zdiva + dodávka</t>
  </si>
  <si>
    <t>144</t>
  </si>
  <si>
    <t>725018122R00</t>
  </si>
  <si>
    <t>Materiál na kompletaci - silikon, nástavce, těsnění apod.</t>
  </si>
  <si>
    <t>145</t>
  </si>
  <si>
    <t>725829201RT1</t>
  </si>
  <si>
    <t>Montáž baterie umyv.a dřezové nástěnné chromové + dodávka</t>
  </si>
  <si>
    <t>146</t>
  </si>
  <si>
    <t>Montáž baterie sprchové, vanové včetně dodávky baterie</t>
  </si>
  <si>
    <t>733</t>
  </si>
  <si>
    <t>Rozvod potrubí k topení</t>
  </si>
  <si>
    <t>148</t>
  </si>
  <si>
    <t>733161104R00</t>
  </si>
  <si>
    <t>Potrubí měděné 15 x 1 mm, polotvrdé ke kotli rozvod (cín cca 500 kč, kolena, redukce, příchytky)</t>
  </si>
  <si>
    <t>150</t>
  </si>
  <si>
    <t>733161107R00</t>
  </si>
  <si>
    <t>Potrubí měděné Supersan 22 x 1 mm, polotvrdé (tam a zpátky)</t>
  </si>
  <si>
    <t>154</t>
  </si>
  <si>
    <t>Izolace potrubí DAPE Tubex 22 x 10 mm</t>
  </si>
  <si>
    <t>155</t>
  </si>
  <si>
    <t>Věci na připojení kotle (filtr, uzávěry, přechody, vypouštěcí kohouty, propojovací sada kotel a zásobník apod.)</t>
  </si>
  <si>
    <t>156</t>
  </si>
  <si>
    <t>733190107R00</t>
  </si>
  <si>
    <t>Tlaková zkouška potrubí</t>
  </si>
  <si>
    <t>157</t>
  </si>
  <si>
    <t>733113113R00</t>
  </si>
  <si>
    <t>Termostat</t>
  </si>
  <si>
    <t>734</t>
  </si>
  <si>
    <t>Armatury</t>
  </si>
  <si>
    <t>161</t>
  </si>
  <si>
    <t>734211111R00</t>
  </si>
  <si>
    <t>Ventily odvzdušňovací ot.těles</t>
  </si>
  <si>
    <t>162</t>
  </si>
  <si>
    <t>734221604RT2</t>
  </si>
  <si>
    <t>Ventily termostat.bez hlavice</t>
  </si>
  <si>
    <t>163</t>
  </si>
  <si>
    <t>734221672RT2</t>
  </si>
  <si>
    <t>Hlavice ovládání ventilů termostat.</t>
  </si>
  <si>
    <t>164</t>
  </si>
  <si>
    <t>734261222R00</t>
  </si>
  <si>
    <t>Šroubení</t>
  </si>
  <si>
    <t>735</t>
  </si>
  <si>
    <t>Otopná tělesa</t>
  </si>
  <si>
    <t>166</t>
  </si>
  <si>
    <t>735156268R00</t>
  </si>
  <si>
    <t>167</t>
  </si>
  <si>
    <t>735156566R00</t>
  </si>
  <si>
    <t>redukce, připojovací šroubení, termostaticka hlavice, svěrné šroubení na CU15 - 1000</t>
  </si>
  <si>
    <t>762</t>
  </si>
  <si>
    <t>Konstrukce tesařské</t>
  </si>
  <si>
    <t>764</t>
  </si>
  <si>
    <t>Konstrukce klempířské</t>
  </si>
  <si>
    <t>765</t>
  </si>
  <si>
    <t>Krytina tvrdá</t>
  </si>
  <si>
    <t>766</t>
  </si>
  <si>
    <t>Konstrukce truhlářské + výplně otvorů</t>
  </si>
  <si>
    <t>225</t>
  </si>
  <si>
    <t>642952110R00</t>
  </si>
  <si>
    <t>Osazení zárubní dveřních dřevěných, pl. do 2,5 m2</t>
  </si>
  <si>
    <t>231</t>
  </si>
  <si>
    <t>766661122R00</t>
  </si>
  <si>
    <t>Montáž dveří do zárubně,otevíravých 1kř.nad 0,8 m</t>
  </si>
  <si>
    <t>232</t>
  </si>
  <si>
    <t>61162102</t>
  </si>
  <si>
    <t>Dveře vnitřní fóliované plné 1kř.60x197 cm</t>
  </si>
  <si>
    <t>237</t>
  </si>
  <si>
    <t>998766102R00</t>
  </si>
  <si>
    <t>Přesun hmot pro truhlářské konstr., výšky do 12 m</t>
  </si>
  <si>
    <t>767</t>
  </si>
  <si>
    <t>Konstrukce doplňkové stavební (zámečnické)</t>
  </si>
  <si>
    <t>771</t>
  </si>
  <si>
    <t>Podlahy z dlaždic</t>
  </si>
  <si>
    <t>244</t>
  </si>
  <si>
    <t>771575107RT3</t>
  </si>
  <si>
    <t>Montáž podlah keram.,protiskluzové, tmel, 20x20 cm</t>
  </si>
  <si>
    <t>245</t>
  </si>
  <si>
    <t>597623134</t>
  </si>
  <si>
    <t>Dlaždice 19,7x19,7</t>
  </si>
  <si>
    <t>247</t>
  </si>
  <si>
    <t>763797101R00VD</t>
  </si>
  <si>
    <t>Montáž spárování tmelením</t>
  </si>
  <si>
    <t>248</t>
  </si>
  <si>
    <t>998771102R00</t>
  </si>
  <si>
    <t>Přesun hmot pro podlahy z dlaždic, výšky do 12 m</t>
  </si>
  <si>
    <t>775</t>
  </si>
  <si>
    <t>Podlahy vlysové a parketové</t>
  </si>
  <si>
    <t>781</t>
  </si>
  <si>
    <t>Obklady (keramické)</t>
  </si>
  <si>
    <t>253</t>
  </si>
  <si>
    <t>781415015RT3</t>
  </si>
  <si>
    <t>Montáž obkladů stěn, porovin.,tmel, 20x20,30x15 cm</t>
  </si>
  <si>
    <t>254</t>
  </si>
  <si>
    <t>597813606</t>
  </si>
  <si>
    <t>Obkládačka 19,8x19,8</t>
  </si>
  <si>
    <t>256</t>
  </si>
  <si>
    <t>998781102R00</t>
  </si>
  <si>
    <t>Přesun hmot pro obklady keramické, výšky do 12 m</t>
  </si>
  <si>
    <t>783</t>
  </si>
  <si>
    <t>Nátěry</t>
  </si>
  <si>
    <t>784</t>
  </si>
  <si>
    <t>Malby</t>
  </si>
  <si>
    <t>260</t>
  </si>
  <si>
    <t>784450080RA0</t>
  </si>
  <si>
    <t xml:space="preserve">Malba vnitřní </t>
  </si>
  <si>
    <t>94</t>
  </si>
  <si>
    <t>Lešení a stavební výtahy</t>
  </si>
  <si>
    <t>H01</t>
  </si>
  <si>
    <t>Budovy pro bydlení</t>
  </si>
  <si>
    <t>PR</t>
  </si>
  <si>
    <t>264</t>
  </si>
  <si>
    <t>998011002R00</t>
  </si>
  <si>
    <t>Přesun hmot pro budovy zděné výšky do 12 m</t>
  </si>
  <si>
    <t>M21</t>
  </si>
  <si>
    <t>Elektromontáže</t>
  </si>
  <si>
    <t>MP</t>
  </si>
  <si>
    <t>265</t>
  </si>
  <si>
    <t>210110041RT2</t>
  </si>
  <si>
    <t>Spínač zapuštěný jednopólový</t>
  </si>
  <si>
    <t>2</t>
  </si>
  <si>
    <t>270</t>
  </si>
  <si>
    <t>210111061R00</t>
  </si>
  <si>
    <t>Zásuvka domovní nástěnná</t>
  </si>
  <si>
    <t>272</t>
  </si>
  <si>
    <t>210203204R00</t>
  </si>
  <si>
    <t>Svítidlo žárovkové nástěnné, 1 žárovka</t>
  </si>
  <si>
    <t>284</t>
  </si>
  <si>
    <t>210800106RT3</t>
  </si>
  <si>
    <t>Kabel CYKY 750 V 3x2,5 mm2 uložený pod omítkou</t>
  </si>
  <si>
    <t>285</t>
  </si>
  <si>
    <t>210800115RT1</t>
  </si>
  <si>
    <t>Kabel CYKY 750 V 5x1,5 mm2 uložený pod omítkou</t>
  </si>
  <si>
    <t>288</t>
  </si>
  <si>
    <t>210-07VD</t>
  </si>
  <si>
    <t>Revize Elektro</t>
  </si>
  <si>
    <t>Celkem: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</si>
  <si>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</si>
  <si>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</si>
  <si>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</si>
  <si>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</si>
  <si>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</si>
  <si>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</si>
  <si>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</si>
  <si>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</si>
  <si>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</si>
  <si>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</si>
  <si>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</si>
  <si>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</si>
  <si>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</si>
  <si>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</si>
  <si>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</si>
  <si>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</si>
  <si>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</si>
  <si>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</si>
  <si>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</si>
  <si>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</si>
  <si>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</si>
  <si>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</si>
  <si>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</si>
  <si>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</si>
  <si>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</si>
  <si>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Základ 0%</t>
  </si>
  <si>
    <t>Základ 10%</t>
  </si>
  <si>
    <t>DPH 10%</t>
  </si>
  <si>
    <t>Celkem bez DPH</t>
  </si>
  <si>
    <t>Základ 20%</t>
  </si>
  <si>
    <t>DPH 20%</t>
  </si>
  <si>
    <t>Celkem včetně DPH</t>
  </si>
  <si>
    <t>Projektant</t>
  </si>
  <si>
    <t>Objednatel</t>
  </si>
  <si>
    <t>Zhotovitel</t>
  </si>
  <si>
    <t>Datum, razítko a podpis</t>
  </si>
  <si>
    <t>Rekonstrukce sociálního zařízení v budově kabin fotbalového hřiště</t>
  </si>
  <si>
    <t>Řežská 96, větrušice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</si>
</sst>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u/>
      <sz val="12"/>
      <color indexed="11"/>
      <name val="Arial"/>
    </font>
    <font>
      <sz val="18"/>
      <color indexed="8"/>
      <name val="Arial"/>
    </font>
    <font>
      <b/>
      <sz val="10"/>
      <color indexed="8"/>
      <name val="Arial"/>
    </font>
    <font>
      <sz val="24"/>
      <color indexed="8"/>
      <name val="Arial"/>
    </font>
    <font>
      <b/>
      <sz val="18"/>
      <color indexed="8"/>
      <name val="Arial"/>
    </font>
    <font>
      <b/>
      <sz val="20"/>
      <color indexed="8"/>
      <name val="Arial"/>
    </font>
    <font>
      <b/>
      <sz val="11"/>
      <color indexed="8"/>
      <name val="Arial"/>
    </font>
    <font>
      <b/>
      <sz val="12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49" fontId="2" fillId="0" borderId="5" xfId="0" applyNumberFormat="1" applyFont="1" applyBorder="1" applyAlignment="1">
      <alignment horizontal="left"/>
    </xf>
    <xf numFmtId="49" fontId="1" fillId="5" borderId="5" xfId="0" applyNumberFormat="1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49" fontId="1" fillId="6" borderId="5" xfId="0" applyNumberFormat="1" applyFont="1" applyFill="1" applyBorder="1" applyAlignment="1">
      <alignment horizontal="left"/>
    </xf>
    <xf numFmtId="49" fontId="3" fillId="6" borderId="5" xfId="0" applyNumberFormat="1" applyFont="1" applyFill="1" applyBorder="1" applyAlignment="1">
      <alignment horizontal="left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0" xfId="0" applyNumberFormat="1" applyFont="1" applyAlignment="1"/>
    <xf numFmtId="0" fontId="0" fillId="4" borderId="9" xfId="0" applyFont="1" applyFill="1" applyBorder="1" applyAlignment="1"/>
    <xf numFmtId="49" fontId="0" fillId="4" borderId="9" xfId="0" applyNumberFormat="1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9" fontId="0" fillId="4" borderId="11" xfId="0" applyNumberFormat="1" applyFont="1" applyFill="1" applyBorder="1" applyAlignment="1">
      <alignment horizontal="left" vertical="center"/>
    </xf>
    <xf numFmtId="49" fontId="0" fillId="4" borderId="12" xfId="0" applyNumberFormat="1" applyFont="1" applyFill="1" applyBorder="1" applyAlignment="1">
      <alignment horizontal="left" vertical="center"/>
    </xf>
    <xf numFmtId="49" fontId="5" fillId="4" borderId="13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0" fillId="4" borderId="15" xfId="0" applyFont="1" applyFill="1" applyBorder="1" applyAlignment="1"/>
    <xf numFmtId="49" fontId="5" fillId="4" borderId="16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right" vertical="center"/>
    </xf>
    <xf numFmtId="49" fontId="5" fillId="4" borderId="16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/>
    <xf numFmtId="49" fontId="5" fillId="7" borderId="5" xfId="0" applyNumberFormat="1" applyFont="1" applyFill="1" applyBorder="1" applyAlignment="1">
      <alignment horizontal="right" vertical="center"/>
    </xf>
    <xf numFmtId="0" fontId="0" fillId="4" borderId="19" xfId="0" applyFont="1" applyFill="1" applyBorder="1" applyAlignment="1"/>
    <xf numFmtId="49" fontId="0" fillId="7" borderId="20" xfId="0" applyNumberFormat="1" applyFont="1" applyFill="1" applyBorder="1" applyAlignment="1">
      <alignment horizontal="left" vertical="center"/>
    </xf>
    <xf numFmtId="49" fontId="0" fillId="7" borderId="21" xfId="0" applyNumberFormat="1" applyFont="1" applyFill="1" applyBorder="1" applyAlignment="1">
      <alignment horizontal="left" vertical="center"/>
    </xf>
    <xf numFmtId="49" fontId="5" fillId="7" borderId="21" xfId="0" applyNumberFormat="1" applyFont="1" applyFill="1" applyBorder="1" applyAlignment="1">
      <alignment horizontal="left" vertical="center"/>
    </xf>
    <xf numFmtId="4" fontId="5" fillId="7" borderId="21" xfId="0" applyNumberFormat="1" applyFont="1" applyFill="1" applyBorder="1" applyAlignment="1">
      <alignment horizontal="right" vertical="center"/>
    </xf>
    <xf numFmtId="49" fontId="5" fillId="7" borderId="21" xfId="0" applyNumberFormat="1" applyFont="1" applyFill="1" applyBorder="1" applyAlignment="1">
      <alignment horizontal="right" vertical="center"/>
    </xf>
    <xf numFmtId="0" fontId="0" fillId="4" borderId="22" xfId="0" applyFont="1" applyFill="1" applyBorder="1" applyAlignment="1"/>
    <xf numFmtId="4" fontId="5" fillId="7" borderId="5" xfId="0" applyNumberFormat="1" applyFont="1" applyFill="1" applyBorder="1" applyAlignment="1">
      <alignment horizontal="right" vertical="center"/>
    </xf>
    <xf numFmtId="4" fontId="5" fillId="7" borderId="23" xfId="0" applyNumberFormat="1" applyFont="1" applyFill="1" applyBorder="1" applyAlignment="1">
      <alignment horizontal="right" vertical="center"/>
    </xf>
    <xf numFmtId="49" fontId="0" fillId="4" borderId="24" xfId="0" applyNumberFormat="1" applyFont="1" applyFill="1" applyBorder="1" applyAlignment="1">
      <alignment horizontal="left" vertical="center"/>
    </xf>
    <xf numFmtId="4" fontId="0" fillId="4" borderId="24" xfId="0" applyNumberFormat="1" applyFont="1" applyFill="1" applyBorder="1" applyAlignment="1">
      <alignment horizontal="right" vertical="center"/>
    </xf>
    <xf numFmtId="49" fontId="0" fillId="4" borderId="9" xfId="0" applyNumberFormat="1" applyFont="1" applyFill="1" applyBorder="1" applyAlignment="1">
      <alignment horizontal="right" vertical="center"/>
    </xf>
    <xf numFmtId="4" fontId="0" fillId="4" borderId="9" xfId="0" applyNumberFormat="1" applyFont="1" applyFill="1" applyBorder="1" applyAlignment="1">
      <alignment horizontal="right" vertical="center"/>
    </xf>
    <xf numFmtId="0" fontId="0" fillId="4" borderId="24" xfId="0" applyFont="1" applyFill="1" applyBorder="1" applyAlignment="1"/>
    <xf numFmtId="49" fontId="0" fillId="7" borderId="25" xfId="0" applyNumberFormat="1" applyFont="1" applyFill="1" applyBorder="1" applyAlignment="1">
      <alignment horizontal="left" vertical="center"/>
    </xf>
    <xf numFmtId="49" fontId="0" fillId="7" borderId="26" xfId="0" applyNumberFormat="1" applyFont="1" applyFill="1" applyBorder="1" applyAlignment="1">
      <alignment horizontal="left" vertical="center"/>
    </xf>
    <xf numFmtId="49" fontId="5" fillId="7" borderId="26" xfId="0" applyNumberFormat="1" applyFont="1" applyFill="1" applyBorder="1" applyAlignment="1">
      <alignment horizontal="left" vertical="center"/>
    </xf>
    <xf numFmtId="4" fontId="5" fillId="7" borderId="26" xfId="0" applyNumberFormat="1" applyFont="1" applyFill="1" applyBorder="1" applyAlignment="1">
      <alignment horizontal="right" vertical="center"/>
    </xf>
    <xf numFmtId="49" fontId="5" fillId="7" borderId="26" xfId="0" applyNumberFormat="1" applyFont="1" applyFill="1" applyBorder="1" applyAlignment="1">
      <alignment horizontal="right" vertical="center"/>
    </xf>
    <xf numFmtId="4" fontId="5" fillId="7" borderId="27" xfId="0" applyNumberFormat="1" applyFont="1" applyFill="1" applyBorder="1" applyAlignment="1">
      <alignment horizontal="right" vertical="center"/>
    </xf>
    <xf numFmtId="49" fontId="0" fillId="7" borderId="28" xfId="0" applyNumberFormat="1" applyFont="1" applyFill="1" applyBorder="1" applyAlignment="1">
      <alignment horizontal="left" vertical="center"/>
    </xf>
    <xf numFmtId="49" fontId="0" fillId="7" borderId="29" xfId="0" applyNumberFormat="1" applyFont="1" applyFill="1" applyBorder="1" applyAlignment="1">
      <alignment horizontal="left" vertical="center"/>
    </xf>
    <xf numFmtId="49" fontId="5" fillId="7" borderId="29" xfId="0" applyNumberFormat="1" applyFont="1" applyFill="1" applyBorder="1" applyAlignment="1">
      <alignment horizontal="left" vertical="center"/>
    </xf>
    <xf numFmtId="4" fontId="5" fillId="7" borderId="29" xfId="0" applyNumberFormat="1" applyFont="1" applyFill="1" applyBorder="1" applyAlignment="1">
      <alignment horizontal="right" vertical="center"/>
    </xf>
    <xf numFmtId="49" fontId="5" fillId="7" borderId="29" xfId="0" applyNumberFormat="1" applyFont="1" applyFill="1" applyBorder="1" applyAlignment="1">
      <alignment horizontal="right" vertical="center"/>
    </xf>
    <xf numFmtId="4" fontId="5" fillId="7" borderId="19" xfId="0" applyNumberFormat="1" applyFont="1" applyFill="1" applyBorder="1" applyAlignment="1">
      <alignment horizontal="right" vertical="center"/>
    </xf>
    <xf numFmtId="49" fontId="0" fillId="7" borderId="30" xfId="0" applyNumberFormat="1" applyFont="1" applyFill="1" applyBorder="1" applyAlignment="1">
      <alignment horizontal="left" vertical="center"/>
    </xf>
    <xf numFmtId="49" fontId="0" fillId="7" borderId="5" xfId="0" applyNumberFormat="1" applyFont="1" applyFill="1" applyBorder="1" applyAlignment="1">
      <alignment horizontal="left" vertical="center"/>
    </xf>
    <xf numFmtId="49" fontId="5" fillId="7" borderId="5" xfId="0" applyNumberFormat="1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right" vertical="center"/>
    </xf>
    <xf numFmtId="0" fontId="5" fillId="7" borderId="23" xfId="0" applyFont="1" applyFill="1" applyBorder="1" applyAlignment="1">
      <alignment horizontal="right" vertical="center"/>
    </xf>
    <xf numFmtId="49" fontId="0" fillId="4" borderId="31" xfId="0" applyNumberFormat="1" applyFont="1" applyFill="1" applyBorder="1" applyAlignment="1">
      <alignment horizontal="left" vertical="center"/>
    </xf>
    <xf numFmtId="4" fontId="0" fillId="4" borderId="31" xfId="0" applyNumberFormat="1" applyFont="1" applyFill="1" applyBorder="1" applyAlignment="1">
      <alignment horizontal="right" vertical="center"/>
    </xf>
    <xf numFmtId="0" fontId="0" fillId="4" borderId="31" xfId="0" applyFont="1" applyFill="1" applyBorder="1" applyAlignment="1"/>
    <xf numFmtId="49" fontId="0" fillId="7" borderId="18" xfId="0" applyNumberFormat="1" applyFont="1" applyFill="1" applyBorder="1" applyAlignment="1">
      <alignment horizontal="left" vertical="center"/>
    </xf>
    <xf numFmtId="49" fontId="0" fillId="7" borderId="32" xfId="0" applyNumberFormat="1" applyFont="1" applyFill="1" applyBorder="1" applyAlignment="1">
      <alignment horizontal="left" vertical="center"/>
    </xf>
    <xf numFmtId="49" fontId="5" fillId="7" borderId="32" xfId="0" applyNumberFormat="1" applyFont="1" applyFill="1" applyBorder="1" applyAlignment="1">
      <alignment horizontal="left" vertical="center"/>
    </xf>
    <xf numFmtId="4" fontId="5" fillId="7" borderId="32" xfId="0" applyNumberFormat="1" applyFont="1" applyFill="1" applyBorder="1" applyAlignment="1">
      <alignment horizontal="right" vertical="center"/>
    </xf>
    <xf numFmtId="49" fontId="5" fillId="7" borderId="32" xfId="0" applyNumberFormat="1" applyFont="1" applyFill="1" applyBorder="1" applyAlignment="1">
      <alignment horizontal="right" vertical="center"/>
    </xf>
    <xf numFmtId="4" fontId="5" fillId="7" borderId="22" xfId="0" applyNumberFormat="1" applyFont="1" applyFill="1" applyBorder="1" applyAlignment="1">
      <alignment horizontal="right" vertical="center"/>
    </xf>
    <xf numFmtId="0" fontId="5" fillId="7" borderId="29" xfId="0" applyFont="1" applyFill="1" applyBorder="1" applyAlignment="1">
      <alignment horizontal="right" vertical="center"/>
    </xf>
    <xf numFmtId="0" fontId="5" fillId="7" borderId="19" xfId="0" applyFont="1" applyFill="1" applyBorder="1" applyAlignment="1">
      <alignment horizontal="right" vertical="center"/>
    </xf>
    <xf numFmtId="49" fontId="0" fillId="4" borderId="15" xfId="0" applyNumberFormat="1" applyFont="1" applyFill="1" applyBorder="1" applyAlignment="1">
      <alignment horizontal="left" vertical="center"/>
    </xf>
    <xf numFmtId="4" fontId="0" fillId="4" borderId="15" xfId="0" applyNumberFormat="1" applyFont="1" applyFill="1" applyBorder="1" applyAlignment="1">
      <alignment horizontal="right" vertical="center"/>
    </xf>
    <xf numFmtId="0" fontId="0" fillId="4" borderId="9" xfId="0" applyNumberFormat="1" applyFont="1" applyFill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8" fillId="7" borderId="9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left" vertical="center"/>
    </xf>
    <xf numFmtId="49" fontId="1" fillId="4" borderId="9" xfId="0" applyNumberFormat="1" applyFont="1" applyFill="1" applyBorder="1" applyAlignment="1">
      <alignment horizontal="left" vertical="center"/>
    </xf>
    <xf numFmtId="4" fontId="1" fillId="4" borderId="9" xfId="0" applyNumberFormat="1" applyFont="1" applyFill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4" fontId="10" fillId="7" borderId="22" xfId="0" applyNumberFormat="1" applyFont="1" applyFill="1" applyBorder="1" applyAlignment="1">
      <alignment horizontal="right" vertical="center"/>
    </xf>
    <xf numFmtId="0" fontId="0" fillId="4" borderId="10" xfId="0" applyFont="1" applyFill="1" applyBorder="1" applyAlignment="1"/>
    <xf numFmtId="0" fontId="0" fillId="4" borderId="12" xfId="0" applyFont="1" applyFill="1" applyBorder="1" applyAlignment="1">
      <alignment vertical="center"/>
    </xf>
    <xf numFmtId="49" fontId="1" fillId="4" borderId="5" xfId="0" applyNumberFormat="1" applyFont="1" applyFill="1" applyBorder="1" applyAlignment="1">
      <alignment horizontal="left" wrapText="1"/>
    </xf>
    <xf numFmtId="0" fontId="0" fillId="0" borderId="5" xfId="0" applyFont="1" applyBorder="1" applyAlignment="1"/>
    <xf numFmtId="49" fontId="0" fillId="4" borderId="9" xfId="0" applyNumberFormat="1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49" fontId="5" fillId="7" borderId="5" xfId="0" applyNumberFormat="1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49" fontId="5" fillId="7" borderId="21" xfId="0" applyNumberFormat="1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49" fontId="5" fillId="7" borderId="32" xfId="0" applyNumberFormat="1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49" fontId="5" fillId="7" borderId="26" xfId="0" applyNumberFormat="1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49" fontId="5" fillId="7" borderId="29" xfId="0" applyNumberFormat="1" applyFont="1" applyFill="1" applyBorder="1" applyAlignment="1">
      <alignment horizontal="left" vertical="center"/>
    </xf>
    <xf numFmtId="14" fontId="0" fillId="4" borderId="9" xfId="0" applyNumberFormat="1" applyFont="1" applyFill="1" applyBorder="1" applyAlignment="1">
      <alignment horizontal="left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49" fontId="1" fillId="4" borderId="16" xfId="0" applyNumberFormat="1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49" fontId="1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49" fontId="1" fillId="4" borderId="14" xfId="0" applyNumberFormat="1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left" vertical="center"/>
    </xf>
    <xf numFmtId="49" fontId="1" fillId="4" borderId="11" xfId="0" applyNumberFormat="1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49" fontId="10" fillId="7" borderId="18" xfId="0" applyNumberFormat="1" applyFont="1" applyFill="1" applyBorder="1" applyAlignment="1">
      <alignment horizontal="left" vertical="center"/>
    </xf>
    <xf numFmtId="0" fontId="10" fillId="7" borderId="32" xfId="0" applyFont="1" applyFill="1" applyBorder="1" applyAlignment="1">
      <alignment horizontal="left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49" fontId="9" fillId="4" borderId="9" xfId="0" applyNumberFormat="1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/>
    <xf numFmtId="49" fontId="7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7" fontId="0" fillId="4" borderId="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C0C0C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4"/>
  <sheetViews>
    <sheetView showGridLines="0" workbookViewId="0"/>
  </sheetViews>
  <sheetFormatPr defaultColWidth="10" defaultRowHeight="12.95" customHeight="1" x14ac:dyDescent="0.2"/>
  <cols>
    <col min="1" max="1" width="2" style="4" customWidth="1"/>
    <col min="2" max="4" width="33.7109375" style="4" customWidth="1"/>
    <col min="5" max="256" width="10" style="4" customWidth="1"/>
  </cols>
  <sheetData>
    <row r="1" spans="1:5" ht="13.7" customHeight="1" x14ac:dyDescent="0.2">
      <c r="A1" s="5"/>
      <c r="B1" s="6"/>
      <c r="C1" s="6"/>
      <c r="D1" s="6"/>
      <c r="E1" s="7"/>
    </row>
    <row r="2" spans="1:5" ht="13.7" customHeight="1" x14ac:dyDescent="0.2">
      <c r="A2" s="8"/>
      <c r="B2" s="9"/>
      <c r="C2" s="9"/>
      <c r="D2" s="9"/>
      <c r="E2" s="10"/>
    </row>
    <row r="3" spans="1:5" ht="50.1" customHeight="1" x14ac:dyDescent="0.2">
      <c r="A3" s="8"/>
      <c r="B3" s="91" t="s">
        <v>0</v>
      </c>
      <c r="C3" s="92"/>
      <c r="D3" s="92"/>
      <c r="E3" s="10"/>
    </row>
    <row r="4" spans="1:5" ht="13.7" customHeight="1" x14ac:dyDescent="0.2">
      <c r="A4" s="8"/>
      <c r="B4" s="9"/>
      <c r="C4" s="9"/>
      <c r="D4" s="9"/>
      <c r="E4" s="10"/>
    </row>
    <row r="5" spans="1:5" ht="13.7" customHeight="1" x14ac:dyDescent="0.2">
      <c r="A5" s="8"/>
      <c r="B5" s="9"/>
      <c r="C5" s="9"/>
      <c r="D5" s="9"/>
      <c r="E5" s="10"/>
    </row>
    <row r="6" spans="1:5" ht="13.7" customHeight="1" x14ac:dyDescent="0.2">
      <c r="A6" s="8"/>
      <c r="B6" s="9"/>
      <c r="C6" s="9"/>
      <c r="D6" s="9"/>
      <c r="E6" s="10"/>
    </row>
    <row r="7" spans="1:5" ht="18" x14ac:dyDescent="0.25">
      <c r="A7" s="8"/>
      <c r="B7" s="11" t="s">
        <v>1</v>
      </c>
      <c r="C7" s="11" t="s">
        <v>2</v>
      </c>
      <c r="D7" s="11" t="s">
        <v>3</v>
      </c>
      <c r="E7" s="10"/>
    </row>
    <row r="8" spans="1:5" ht="13.7" customHeight="1" x14ac:dyDescent="0.2">
      <c r="A8" s="8"/>
      <c r="B8" s="9"/>
      <c r="C8" s="9"/>
      <c r="D8" s="9"/>
      <c r="E8" s="10"/>
    </row>
    <row r="9" spans="1:5" ht="15" x14ac:dyDescent="0.2">
      <c r="A9" s="8"/>
      <c r="B9" s="12" t="s">
        <v>5</v>
      </c>
      <c r="C9" s="13"/>
      <c r="D9" s="13"/>
      <c r="E9" s="10"/>
    </row>
    <row r="10" spans="1:5" ht="15" x14ac:dyDescent="0.2">
      <c r="A10" s="8"/>
      <c r="B10" s="14"/>
      <c r="C10" s="15" t="s">
        <v>4</v>
      </c>
      <c r="D10" s="16" t="s">
        <v>6</v>
      </c>
      <c r="E10" s="10"/>
    </row>
    <row r="11" spans="1:5" ht="12.95" customHeight="1" x14ac:dyDescent="0.2">
      <c r="A11" s="8"/>
      <c r="B11" s="1" t="s">
        <v>5</v>
      </c>
      <c r="C11" s="1"/>
      <c r="D11" s="1"/>
      <c r="E11" s="10"/>
    </row>
    <row r="12" spans="1:5" ht="12.95" customHeight="1" x14ac:dyDescent="0.2">
      <c r="A12" s="17"/>
      <c r="B12" s="2"/>
      <c r="C12" s="2" t="s">
        <v>4</v>
      </c>
      <c r="D12" s="3" t="s">
        <v>5</v>
      </c>
      <c r="E12" s="18"/>
    </row>
    <row r="13" spans="1:5" ht="15" x14ac:dyDescent="0.2">
      <c r="B13" s="1" t="s">
        <v>7</v>
      </c>
      <c r="C13" s="1"/>
      <c r="D13" s="1"/>
    </row>
    <row r="14" spans="1:5" ht="15" x14ac:dyDescent="0.2">
      <c r="B14" s="2"/>
      <c r="C14" s="2" t="s">
        <v>4</v>
      </c>
      <c r="D14" s="3" t="s">
        <v>7</v>
      </c>
    </row>
  </sheetData>
  <mergeCells count="1">
    <mergeCell ref="B3:D3"/>
  </mergeCells>
  <hyperlinks>
    <hyperlink ref="D10" location="'Souhrn exportu'!R1C1" display="Souhrn exportu" xr:uid="{00000000-0004-0000-0000-000000000000}"/>
    <hyperlink ref="D12" location="'Stavební rozpočet'!R1C1" display="Stavební rozpočet" xr:uid="{00000000-0004-0000-0000-000001000000}"/>
    <hyperlink ref="D14" location="'Krycí list rozpočtu'!R1C1" display="Krycí list rozpočtu" xr:uid="{00000000-0004-0000-0000-000002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21"/>
  <sheetViews>
    <sheetView showGridLines="0" workbookViewId="0">
      <selection activeCell="D8" sqref="D8:D9"/>
    </sheetView>
  </sheetViews>
  <sheetFormatPr defaultColWidth="10.85546875" defaultRowHeight="12.75" customHeight="1" x14ac:dyDescent="0.2"/>
  <cols>
    <col min="1" max="2" width="3.7109375" style="19" customWidth="1"/>
    <col min="3" max="3" width="13.28515625" style="19" customWidth="1"/>
    <col min="4" max="4" width="83.7109375" style="19" customWidth="1"/>
    <col min="5" max="5" width="4.28515625" style="19" customWidth="1"/>
    <col min="6" max="6" width="10.85546875" style="19" customWidth="1"/>
    <col min="7" max="7" width="12" style="19" customWidth="1"/>
    <col min="8" max="9" width="13.140625" style="19" customWidth="1"/>
    <col min="10" max="10" width="13.28515625" style="19" customWidth="1"/>
    <col min="11" max="12" width="11.7109375" style="19" customWidth="1"/>
    <col min="13" max="13" width="10.85546875" style="19" customWidth="1"/>
    <col min="14" max="37" width="10.85546875" style="19" hidden="1" customWidth="1"/>
    <col min="38" max="256" width="10.85546875" style="19" customWidth="1"/>
  </cols>
  <sheetData>
    <row r="1" spans="1:38" ht="21.95" customHeight="1" x14ac:dyDescent="0.2">
      <c r="A1" s="109" t="s">
        <v>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3.7" customHeight="1" x14ac:dyDescent="0.2">
      <c r="A2" s="93" t="s">
        <v>8</v>
      </c>
      <c r="B2" s="94"/>
      <c r="C2" s="94"/>
      <c r="D2" s="111"/>
      <c r="E2" s="93" t="s">
        <v>9</v>
      </c>
      <c r="F2" s="94"/>
      <c r="G2" s="93"/>
      <c r="H2" s="94"/>
      <c r="I2" s="93" t="s">
        <v>10</v>
      </c>
      <c r="J2" s="93"/>
      <c r="K2" s="94"/>
      <c r="L2" s="94"/>
      <c r="M2" s="2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3.7" customHeight="1" x14ac:dyDescent="0.2">
      <c r="A3" s="94"/>
      <c r="B3" s="94"/>
      <c r="C3" s="94"/>
      <c r="D3" s="112"/>
      <c r="E3" s="94"/>
      <c r="F3" s="94"/>
      <c r="G3" s="94"/>
      <c r="H3" s="94"/>
      <c r="I3" s="94"/>
      <c r="J3" s="94"/>
      <c r="K3" s="94"/>
      <c r="L3" s="94"/>
      <c r="M3" s="22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3.7" customHeight="1" x14ac:dyDescent="0.2">
      <c r="A4" s="93" t="s">
        <v>11</v>
      </c>
      <c r="B4" s="94"/>
      <c r="C4" s="94"/>
      <c r="D4" s="93" t="s">
        <v>381</v>
      </c>
      <c r="E4" s="93" t="s">
        <v>12</v>
      </c>
      <c r="F4" s="94"/>
      <c r="G4" s="106">
        <v>43435</v>
      </c>
      <c r="H4" s="94"/>
      <c r="I4" s="93" t="s">
        <v>13</v>
      </c>
      <c r="J4" s="93"/>
      <c r="K4" s="94"/>
      <c r="L4" s="94"/>
      <c r="M4" s="2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3.7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2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3.7" customHeight="1" x14ac:dyDescent="0.2">
      <c r="A6" s="93" t="s">
        <v>14</v>
      </c>
      <c r="B6" s="94"/>
      <c r="C6" s="94"/>
      <c r="D6" s="93" t="s">
        <v>382</v>
      </c>
      <c r="E6" s="93" t="s">
        <v>15</v>
      </c>
      <c r="F6" s="94"/>
      <c r="G6" s="135">
        <v>43497</v>
      </c>
      <c r="H6" s="94"/>
      <c r="I6" s="93" t="s">
        <v>16</v>
      </c>
      <c r="J6" s="93"/>
      <c r="K6" s="94"/>
      <c r="L6" s="94"/>
      <c r="M6" s="22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3.7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22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3.7" customHeight="1" x14ac:dyDescent="0.2">
      <c r="A8" s="93" t="s">
        <v>17</v>
      </c>
      <c r="B8" s="94"/>
      <c r="C8" s="94"/>
      <c r="D8" s="93"/>
      <c r="E8" s="93" t="s">
        <v>18</v>
      </c>
      <c r="F8" s="94"/>
      <c r="G8" s="106">
        <v>43353</v>
      </c>
      <c r="H8" s="94"/>
      <c r="I8" s="93" t="s">
        <v>19</v>
      </c>
      <c r="J8" s="93" t="s">
        <v>20</v>
      </c>
      <c r="K8" s="94"/>
      <c r="L8" s="94"/>
      <c r="M8" s="22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4.1" customHeight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22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4.1" customHeight="1" x14ac:dyDescent="0.2">
      <c r="A10" s="23" t="s">
        <v>21</v>
      </c>
      <c r="B10" s="24" t="s">
        <v>21</v>
      </c>
      <c r="C10" s="24" t="s">
        <v>21</v>
      </c>
      <c r="D10" s="24" t="s">
        <v>21</v>
      </c>
      <c r="E10" s="24" t="s">
        <v>21</v>
      </c>
      <c r="F10" s="24" t="s">
        <v>21</v>
      </c>
      <c r="G10" s="25" t="s">
        <v>22</v>
      </c>
      <c r="H10" s="107" t="s">
        <v>23</v>
      </c>
      <c r="I10" s="113"/>
      <c r="J10" s="108"/>
      <c r="K10" s="107" t="s">
        <v>24</v>
      </c>
      <c r="L10" s="108"/>
      <c r="M10" s="26"/>
      <c r="N10" s="20"/>
      <c r="O10" s="20"/>
      <c r="P10" s="27"/>
      <c r="Q10" s="27"/>
      <c r="R10" s="27"/>
      <c r="S10" s="27"/>
      <c r="T10" s="27"/>
      <c r="U10" s="27"/>
      <c r="V10" s="27"/>
      <c r="W10" s="27"/>
      <c r="X10" s="27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4.1" customHeight="1" x14ac:dyDescent="0.2">
      <c r="A11" s="28" t="s">
        <v>25</v>
      </c>
      <c r="B11" s="29" t="s">
        <v>26</v>
      </c>
      <c r="C11" s="29" t="s">
        <v>27</v>
      </c>
      <c r="D11" s="29" t="s">
        <v>28</v>
      </c>
      <c r="E11" s="29" t="s">
        <v>29</v>
      </c>
      <c r="F11" s="30" t="s">
        <v>30</v>
      </c>
      <c r="G11" s="31" t="s">
        <v>31</v>
      </c>
      <c r="H11" s="32" t="s">
        <v>32</v>
      </c>
      <c r="I11" s="30" t="s">
        <v>33</v>
      </c>
      <c r="J11" s="33" t="s">
        <v>34</v>
      </c>
      <c r="K11" s="32" t="s">
        <v>22</v>
      </c>
      <c r="L11" s="33" t="s">
        <v>34</v>
      </c>
      <c r="M11" s="26"/>
      <c r="N11" s="20"/>
      <c r="O11" s="34"/>
      <c r="P11" s="35" t="s">
        <v>35</v>
      </c>
      <c r="Q11" s="35" t="s">
        <v>36</v>
      </c>
      <c r="R11" s="35" t="s">
        <v>37</v>
      </c>
      <c r="S11" s="35" t="s">
        <v>38</v>
      </c>
      <c r="T11" s="35" t="s">
        <v>39</v>
      </c>
      <c r="U11" s="35" t="s">
        <v>40</v>
      </c>
      <c r="V11" s="35" t="s">
        <v>41</v>
      </c>
      <c r="W11" s="35" t="s">
        <v>42</v>
      </c>
      <c r="X11" s="35" t="s">
        <v>43</v>
      </c>
      <c r="Y11" s="36"/>
      <c r="Z11" s="20"/>
      <c r="AA11" s="20"/>
      <c r="AB11" s="20"/>
      <c r="AC11" s="20"/>
      <c r="AD11" s="20"/>
      <c r="AE11" s="20"/>
      <c r="AF11" s="20"/>
      <c r="AG11" s="20"/>
      <c r="AH11" s="20"/>
      <c r="AI11" s="27"/>
      <c r="AJ11" s="27"/>
      <c r="AK11" s="27"/>
      <c r="AL11" s="20"/>
    </row>
    <row r="12" spans="1:38" ht="14.1" customHeight="1" x14ac:dyDescent="0.2">
      <c r="A12" s="37"/>
      <c r="B12" s="38"/>
      <c r="C12" s="39" t="s">
        <v>44</v>
      </c>
      <c r="D12" s="97" t="s">
        <v>45</v>
      </c>
      <c r="E12" s="98"/>
      <c r="F12" s="98"/>
      <c r="G12" s="98"/>
      <c r="H12" s="40">
        <f>SUM(H13:H13)</f>
        <v>0</v>
      </c>
      <c r="I12" s="40">
        <f>SUM(I13:I13)</f>
        <v>0</v>
      </c>
      <c r="J12" s="40">
        <f>H12+I12</f>
        <v>0</v>
      </c>
      <c r="K12" s="41"/>
      <c r="L12" s="40">
        <f>SUM(L13:L13)</f>
        <v>0</v>
      </c>
      <c r="M12" s="42"/>
      <c r="N12" s="20"/>
      <c r="O12" s="34"/>
      <c r="P12" s="43">
        <f>IF(Q12="PR",J12,SUM(O13:O13))</f>
        <v>0</v>
      </c>
      <c r="Q12" s="35" t="s">
        <v>46</v>
      </c>
      <c r="R12" s="43">
        <f>IF(Q12="HS",H12,0)</f>
        <v>0</v>
      </c>
      <c r="S12" s="43">
        <f>IF(Q12="HS",I12-P12,0)</f>
        <v>0</v>
      </c>
      <c r="T12" s="43">
        <f>IF(Q12="PS",H12,0)</f>
        <v>0</v>
      </c>
      <c r="U12" s="43">
        <f>IF(Q12="PS",I12-P12,0)</f>
        <v>0</v>
      </c>
      <c r="V12" s="43">
        <f>IF(Q12="MP",H12,0)</f>
        <v>0</v>
      </c>
      <c r="W12" s="43">
        <f>IF(Q12="MP",I12-P12,0)</f>
        <v>0</v>
      </c>
      <c r="X12" s="43">
        <f>IF(Q12="OM",H12,0)</f>
        <v>0</v>
      </c>
      <c r="Y12" s="35"/>
      <c r="Z12" s="42"/>
      <c r="AA12" s="20"/>
      <c r="AB12" s="20"/>
      <c r="AC12" s="20"/>
      <c r="AD12" s="20"/>
      <c r="AE12" s="20"/>
      <c r="AF12" s="20"/>
      <c r="AG12" s="20"/>
      <c r="AH12" s="34"/>
      <c r="AI12" s="43">
        <f>SUM(Z13:Z13)</f>
        <v>0</v>
      </c>
      <c r="AJ12" s="43">
        <f>SUM(AA13:AA13)</f>
        <v>0</v>
      </c>
      <c r="AK12" s="44">
        <f>SUM(AB13:AB13)</f>
        <v>0</v>
      </c>
      <c r="AL12" s="20"/>
    </row>
    <row r="13" spans="1:38" ht="13.7" customHeight="1" x14ac:dyDescent="0.2">
      <c r="A13" s="45" t="s">
        <v>47</v>
      </c>
      <c r="B13" s="45"/>
      <c r="C13" s="45" t="s">
        <v>48</v>
      </c>
      <c r="D13" s="45" t="s">
        <v>49</v>
      </c>
      <c r="E13" s="45" t="s">
        <v>50</v>
      </c>
      <c r="F13" s="46">
        <v>5</v>
      </c>
      <c r="G13" s="46">
        <v>0</v>
      </c>
      <c r="H13" s="46">
        <f>ROUND(F13*AE13,2)</f>
        <v>0</v>
      </c>
      <c r="I13" s="46">
        <f>J13-H13</f>
        <v>0</v>
      </c>
      <c r="J13" s="46">
        <f>ROUND(F13*G13,2)</f>
        <v>0</v>
      </c>
      <c r="K13" s="46">
        <v>0</v>
      </c>
      <c r="L13" s="46">
        <f>F13*K13</f>
        <v>0</v>
      </c>
      <c r="M13" s="20"/>
      <c r="N13" s="47" t="s">
        <v>47</v>
      </c>
      <c r="O13" s="48">
        <f>IF(N13="5",I13,0)</f>
        <v>0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8">
        <f>IF(AD13=0,J13,0)</f>
        <v>0</v>
      </c>
      <c r="AA13" s="48">
        <f>IF(AD13=10,J13,0)</f>
        <v>0</v>
      </c>
      <c r="AB13" s="48">
        <f>IF(AD13=20,J13,0)</f>
        <v>0</v>
      </c>
      <c r="AC13" s="20"/>
      <c r="AD13" s="48">
        <v>10</v>
      </c>
      <c r="AE13" s="48">
        <f>G13*0</f>
        <v>0</v>
      </c>
      <c r="AF13" s="48">
        <f>G13*(1-0)</f>
        <v>0</v>
      </c>
      <c r="AG13" s="20"/>
      <c r="AH13" s="20"/>
      <c r="AI13" s="49"/>
      <c r="AJ13" s="49"/>
      <c r="AK13" s="49"/>
      <c r="AL13" s="20"/>
    </row>
    <row r="14" spans="1:38" ht="13.7" customHeight="1" x14ac:dyDescent="0.2">
      <c r="A14" s="50"/>
      <c r="B14" s="51"/>
      <c r="C14" s="52" t="s">
        <v>51</v>
      </c>
      <c r="D14" s="103" t="s">
        <v>52</v>
      </c>
      <c r="E14" s="104"/>
      <c r="F14" s="104"/>
      <c r="G14" s="104"/>
      <c r="H14" s="53">
        <f>SUM(H15:H15)</f>
        <v>0</v>
      </c>
      <c r="I14" s="53">
        <f>SUM(I15:I15)</f>
        <v>0</v>
      </c>
      <c r="J14" s="53">
        <f>H14+I14</f>
        <v>0</v>
      </c>
      <c r="K14" s="54"/>
      <c r="L14" s="53">
        <f>SUM(L15:L15)</f>
        <v>0</v>
      </c>
      <c r="M14" s="42"/>
      <c r="N14" s="20"/>
      <c r="O14" s="34"/>
      <c r="P14" s="53">
        <f>IF(Q14="PR",J14,SUM(O15:O15))</f>
        <v>0</v>
      </c>
      <c r="Q14" s="54" t="s">
        <v>46</v>
      </c>
      <c r="R14" s="53">
        <f>IF(Q14="HS",H14,0)</f>
        <v>0</v>
      </c>
      <c r="S14" s="53">
        <f>IF(Q14="HS",I14-P14,0)</f>
        <v>0</v>
      </c>
      <c r="T14" s="53">
        <f>IF(Q14="PS",H14,0)</f>
        <v>0</v>
      </c>
      <c r="U14" s="53">
        <f>IF(Q14="PS",I14-P14,0)</f>
        <v>0</v>
      </c>
      <c r="V14" s="53">
        <f>IF(Q14="MP",H14,0)</f>
        <v>0</v>
      </c>
      <c r="W14" s="53">
        <f>IF(Q14="MP",I14-P14,0)</f>
        <v>0</v>
      </c>
      <c r="X14" s="53">
        <f>IF(Q14="OM",H14,0)</f>
        <v>0</v>
      </c>
      <c r="Y14" s="54"/>
      <c r="Z14" s="42"/>
      <c r="AA14" s="20"/>
      <c r="AB14" s="20"/>
      <c r="AC14" s="20"/>
      <c r="AD14" s="20"/>
      <c r="AE14" s="20"/>
      <c r="AF14" s="20"/>
      <c r="AG14" s="20"/>
      <c r="AH14" s="34"/>
      <c r="AI14" s="53">
        <f>SUM(Z15:Z15)</f>
        <v>0</v>
      </c>
      <c r="AJ14" s="53">
        <f>SUM(AA15:AA15)</f>
        <v>0</v>
      </c>
      <c r="AK14" s="55">
        <f>SUM(AB15:AB15)</f>
        <v>0</v>
      </c>
      <c r="AL14" s="20"/>
    </row>
    <row r="15" spans="1:38" ht="13.7" customHeight="1" x14ac:dyDescent="0.2">
      <c r="A15" s="21" t="s">
        <v>53</v>
      </c>
      <c r="B15" s="21"/>
      <c r="C15" s="21" t="s">
        <v>54</v>
      </c>
      <c r="D15" s="21" t="s">
        <v>55</v>
      </c>
      <c r="E15" s="21" t="s">
        <v>50</v>
      </c>
      <c r="F15" s="48">
        <v>5</v>
      </c>
      <c r="G15" s="48">
        <v>0</v>
      </c>
      <c r="H15" s="48">
        <f>ROUND(F15*AE15,2)</f>
        <v>0</v>
      </c>
      <c r="I15" s="48">
        <f>J15-H15</f>
        <v>0</v>
      </c>
      <c r="J15" s="48">
        <f>ROUND(F15*G15,2)</f>
        <v>0</v>
      </c>
      <c r="K15" s="48">
        <v>0</v>
      </c>
      <c r="L15" s="48">
        <f>F15*K15</f>
        <v>0</v>
      </c>
      <c r="M15" s="20"/>
      <c r="N15" s="47" t="s">
        <v>47</v>
      </c>
      <c r="O15" s="48">
        <f>IF(N15="5",I15,0)</f>
        <v>0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48">
        <f>IF(AD15=0,J15,0)</f>
        <v>0</v>
      </c>
      <c r="AA15" s="48">
        <f>IF(AD15=10,J15,0)</f>
        <v>0</v>
      </c>
      <c r="AB15" s="48">
        <f>IF(AD15=20,J15,0)</f>
        <v>0</v>
      </c>
      <c r="AC15" s="20"/>
      <c r="AD15" s="48">
        <v>10</v>
      </c>
      <c r="AE15" s="48">
        <f>G15*0</f>
        <v>0</v>
      </c>
      <c r="AF15" s="48">
        <f>G15*(1-0)</f>
        <v>0</v>
      </c>
      <c r="AG15" s="20"/>
      <c r="AH15" s="20"/>
      <c r="AI15" s="20"/>
      <c r="AJ15" s="20"/>
      <c r="AK15" s="20"/>
      <c r="AL15" s="20"/>
    </row>
    <row r="16" spans="1:38" ht="13.7" customHeight="1" x14ac:dyDescent="0.2">
      <c r="A16" s="56"/>
      <c r="B16" s="57"/>
      <c r="C16" s="58" t="s">
        <v>56</v>
      </c>
      <c r="D16" s="105" t="s">
        <v>57</v>
      </c>
      <c r="E16" s="100"/>
      <c r="F16" s="100"/>
      <c r="G16" s="100"/>
      <c r="H16" s="59">
        <f>SUM(H17:H17)</f>
        <v>0</v>
      </c>
      <c r="I16" s="59">
        <f>SUM(I17:I17)</f>
        <v>0</v>
      </c>
      <c r="J16" s="59">
        <f>H16+I16</f>
        <v>0</v>
      </c>
      <c r="K16" s="60"/>
      <c r="L16" s="59">
        <f>SUM(L17:L17)</f>
        <v>0</v>
      </c>
      <c r="M16" s="42"/>
      <c r="N16" s="20"/>
      <c r="O16" s="34"/>
      <c r="P16" s="59">
        <f>IF(Q16="PR",J16,SUM(O17:O17))</f>
        <v>0</v>
      </c>
      <c r="Q16" s="60" t="s">
        <v>46</v>
      </c>
      <c r="R16" s="59">
        <f>IF(Q16="HS",H16,0)</f>
        <v>0</v>
      </c>
      <c r="S16" s="59">
        <f>IF(Q16="HS",I16-P16,0)</f>
        <v>0</v>
      </c>
      <c r="T16" s="59">
        <f>IF(Q16="PS",H16,0)</f>
        <v>0</v>
      </c>
      <c r="U16" s="59">
        <f>IF(Q16="PS",I16-P16,0)</f>
        <v>0</v>
      </c>
      <c r="V16" s="59">
        <f>IF(Q16="MP",H16,0)</f>
        <v>0</v>
      </c>
      <c r="W16" s="59">
        <f>IF(Q16="MP",I16-P16,0)</f>
        <v>0</v>
      </c>
      <c r="X16" s="59">
        <f>IF(Q16="OM",H16,0)</f>
        <v>0</v>
      </c>
      <c r="Y16" s="60"/>
      <c r="Z16" s="42"/>
      <c r="AA16" s="20"/>
      <c r="AB16" s="20"/>
      <c r="AC16" s="20"/>
      <c r="AD16" s="20"/>
      <c r="AE16" s="20"/>
      <c r="AF16" s="20"/>
      <c r="AG16" s="20"/>
      <c r="AH16" s="34"/>
      <c r="AI16" s="59">
        <f>SUM(Z17:Z17)</f>
        <v>0</v>
      </c>
      <c r="AJ16" s="59">
        <f>SUM(AA17:AA17)</f>
        <v>0</v>
      </c>
      <c r="AK16" s="61">
        <f>SUM(AB17:AB17)</f>
        <v>0</v>
      </c>
      <c r="AL16" s="20"/>
    </row>
    <row r="17" spans="1:38" ht="13.7" customHeight="1" x14ac:dyDescent="0.2">
      <c r="A17" s="45" t="s">
        <v>58</v>
      </c>
      <c r="B17" s="45"/>
      <c r="C17" s="45" t="s">
        <v>59</v>
      </c>
      <c r="D17" s="45" t="s">
        <v>60</v>
      </c>
      <c r="E17" s="45" t="s">
        <v>50</v>
      </c>
      <c r="F17" s="46">
        <v>5</v>
      </c>
      <c r="G17" s="46">
        <v>0</v>
      </c>
      <c r="H17" s="46">
        <f>ROUND(F17*AE17,2)</f>
        <v>0</v>
      </c>
      <c r="I17" s="46">
        <f>J17-H17</f>
        <v>0</v>
      </c>
      <c r="J17" s="46">
        <f>ROUND(F17*G17,2)</f>
        <v>0</v>
      </c>
      <c r="K17" s="46">
        <v>0</v>
      </c>
      <c r="L17" s="46">
        <f>F17*K17</f>
        <v>0</v>
      </c>
      <c r="M17" s="20"/>
      <c r="N17" s="47" t="s">
        <v>47</v>
      </c>
      <c r="O17" s="48">
        <f>IF(N17="5",I17,0)</f>
        <v>0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8">
        <f>IF(AD17=0,J17,0)</f>
        <v>0</v>
      </c>
      <c r="AA17" s="48">
        <f>IF(AD17=10,J17,0)</f>
        <v>0</v>
      </c>
      <c r="AB17" s="48">
        <f>IF(AD17=20,J17,0)</f>
        <v>0</v>
      </c>
      <c r="AC17" s="20"/>
      <c r="AD17" s="48">
        <v>10</v>
      </c>
      <c r="AE17" s="48">
        <f>G17*0</f>
        <v>0</v>
      </c>
      <c r="AF17" s="48">
        <f>G17*(1-0)</f>
        <v>0</v>
      </c>
      <c r="AG17" s="20"/>
      <c r="AH17" s="20"/>
      <c r="AI17" s="49"/>
      <c r="AJ17" s="49"/>
      <c r="AK17" s="49"/>
      <c r="AL17" s="20"/>
    </row>
    <row r="18" spans="1:38" ht="13.7" customHeight="1" x14ac:dyDescent="0.2">
      <c r="A18" s="62"/>
      <c r="B18" s="63"/>
      <c r="C18" s="64" t="s">
        <v>61</v>
      </c>
      <c r="D18" s="95" t="s">
        <v>62</v>
      </c>
      <c r="E18" s="96"/>
      <c r="F18" s="96"/>
      <c r="G18" s="96"/>
      <c r="H18" s="43">
        <f>SUM(H19:H19)</f>
        <v>0</v>
      </c>
      <c r="I18" s="43">
        <f>SUM(I19:I19)</f>
        <v>0</v>
      </c>
      <c r="J18" s="43">
        <f>H18+I18</f>
        <v>0</v>
      </c>
      <c r="K18" s="35"/>
      <c r="L18" s="43">
        <f>SUM(L19:L19)</f>
        <v>0</v>
      </c>
      <c r="M18" s="42"/>
      <c r="N18" s="20"/>
      <c r="O18" s="34"/>
      <c r="P18" s="43">
        <f>IF(Q18="PR",J18,SUM(O19:O19))</f>
        <v>0</v>
      </c>
      <c r="Q18" s="35" t="s">
        <v>46</v>
      </c>
      <c r="R18" s="43">
        <f>IF(Q18="HS",H18,0)</f>
        <v>0</v>
      </c>
      <c r="S18" s="43">
        <f>IF(Q18="HS",I18-P18,0)</f>
        <v>0</v>
      </c>
      <c r="T18" s="43">
        <f>IF(Q18="PS",H18,0)</f>
        <v>0</v>
      </c>
      <c r="U18" s="43">
        <f>IF(Q18="PS",I18-P18,0)</f>
        <v>0</v>
      </c>
      <c r="V18" s="43">
        <f>IF(Q18="MP",H18,0)</f>
        <v>0</v>
      </c>
      <c r="W18" s="43">
        <f>IF(Q18="MP",I18-P18,0)</f>
        <v>0</v>
      </c>
      <c r="X18" s="43">
        <f>IF(Q18="OM",H18,0)</f>
        <v>0</v>
      </c>
      <c r="Y18" s="35"/>
      <c r="Z18" s="42"/>
      <c r="AA18" s="20"/>
      <c r="AB18" s="20"/>
      <c r="AC18" s="20"/>
      <c r="AD18" s="20"/>
      <c r="AE18" s="20"/>
      <c r="AF18" s="20"/>
      <c r="AG18" s="20"/>
      <c r="AH18" s="34"/>
      <c r="AI18" s="43">
        <f>SUM(Z19:Z19)</f>
        <v>0</v>
      </c>
      <c r="AJ18" s="43">
        <f>SUM(AA19:AA19)</f>
        <v>0</v>
      </c>
      <c r="AK18" s="44">
        <f>SUM(AB19:AB19)</f>
        <v>0</v>
      </c>
      <c r="AL18" s="20"/>
    </row>
    <row r="19" spans="1:38" ht="13.7" customHeight="1" x14ac:dyDescent="0.2">
      <c r="A19" s="45" t="s">
        <v>63</v>
      </c>
      <c r="B19" s="45"/>
      <c r="C19" s="45" t="s">
        <v>64</v>
      </c>
      <c r="D19" s="45" t="s">
        <v>65</v>
      </c>
      <c r="E19" s="45" t="s">
        <v>50</v>
      </c>
      <c r="F19" s="46">
        <v>5</v>
      </c>
      <c r="G19" s="46">
        <v>0</v>
      </c>
      <c r="H19" s="46">
        <f>ROUND(F19*AE19,2)</f>
        <v>0</v>
      </c>
      <c r="I19" s="46">
        <f>J19-H19</f>
        <v>0</v>
      </c>
      <c r="J19" s="46">
        <f>ROUND(F19*G19,2)</f>
        <v>0</v>
      </c>
      <c r="K19" s="46">
        <v>0</v>
      </c>
      <c r="L19" s="46">
        <f>F19*K19</f>
        <v>0</v>
      </c>
      <c r="M19" s="20"/>
      <c r="N19" s="47" t="s">
        <v>47</v>
      </c>
      <c r="O19" s="48">
        <f>IF(N19="5",I19,0)</f>
        <v>0</v>
      </c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8">
        <f>IF(AD19=0,J19,0)</f>
        <v>0</v>
      </c>
      <c r="AA19" s="48">
        <f>IF(AD19=10,J19,0)</f>
        <v>0</v>
      </c>
      <c r="AB19" s="48">
        <f>IF(AD19=20,J19,0)</f>
        <v>0</v>
      </c>
      <c r="AC19" s="20"/>
      <c r="AD19" s="48">
        <v>10</v>
      </c>
      <c r="AE19" s="48">
        <f>G19*0</f>
        <v>0</v>
      </c>
      <c r="AF19" s="48">
        <f>G19*(1-0)</f>
        <v>0</v>
      </c>
      <c r="AG19" s="20"/>
      <c r="AH19" s="20"/>
      <c r="AI19" s="49"/>
      <c r="AJ19" s="49"/>
      <c r="AK19" s="49"/>
      <c r="AL19" s="20"/>
    </row>
    <row r="20" spans="1:38" ht="13.7" customHeight="1" x14ac:dyDescent="0.2">
      <c r="A20" s="62"/>
      <c r="B20" s="63"/>
      <c r="C20" s="64" t="s">
        <v>66</v>
      </c>
      <c r="D20" s="95" t="s">
        <v>67</v>
      </c>
      <c r="E20" s="96"/>
      <c r="F20" s="96"/>
      <c r="G20" s="96"/>
      <c r="H20" s="43">
        <f>SUM(H21:H21)</f>
        <v>0</v>
      </c>
      <c r="I20" s="43">
        <f>SUM(I21:I21)</f>
        <v>0</v>
      </c>
      <c r="J20" s="43">
        <f>H20+I20</f>
        <v>0</v>
      </c>
      <c r="K20" s="35"/>
      <c r="L20" s="43">
        <f>SUM(L21:L21)</f>
        <v>0</v>
      </c>
      <c r="M20" s="42"/>
      <c r="N20" s="20"/>
      <c r="O20" s="34"/>
      <c r="P20" s="43">
        <f>IF(Q20="PR",J20,SUM(O21:O21))</f>
        <v>0</v>
      </c>
      <c r="Q20" s="35" t="s">
        <v>46</v>
      </c>
      <c r="R20" s="43">
        <f>IF(Q20="HS",H20,0)</f>
        <v>0</v>
      </c>
      <c r="S20" s="43">
        <f>IF(Q20="HS",I20-P20,0)</f>
        <v>0</v>
      </c>
      <c r="T20" s="43">
        <f>IF(Q20="PS",H20,0)</f>
        <v>0</v>
      </c>
      <c r="U20" s="43">
        <f>IF(Q20="PS",I20-P20,0)</f>
        <v>0</v>
      </c>
      <c r="V20" s="43">
        <f>IF(Q20="MP",H20,0)</f>
        <v>0</v>
      </c>
      <c r="W20" s="43">
        <f>IF(Q20="MP",I20-P20,0)</f>
        <v>0</v>
      </c>
      <c r="X20" s="43">
        <f>IF(Q20="OM",H20,0)</f>
        <v>0</v>
      </c>
      <c r="Y20" s="35"/>
      <c r="Z20" s="42"/>
      <c r="AA20" s="20"/>
      <c r="AB20" s="20"/>
      <c r="AC20" s="20"/>
      <c r="AD20" s="20"/>
      <c r="AE20" s="20"/>
      <c r="AF20" s="20"/>
      <c r="AG20" s="20"/>
      <c r="AH20" s="34"/>
      <c r="AI20" s="43">
        <f>SUM(Z21:Z21)</f>
        <v>0</v>
      </c>
      <c r="AJ20" s="43">
        <f>SUM(AA21:AA21)</f>
        <v>0</v>
      </c>
      <c r="AK20" s="44">
        <f>SUM(AB21:AB21)</f>
        <v>0</v>
      </c>
      <c r="AL20" s="20"/>
    </row>
    <row r="21" spans="1:38" ht="13.7" customHeight="1" x14ac:dyDescent="0.2">
      <c r="A21" s="45" t="s">
        <v>68</v>
      </c>
      <c r="B21" s="45"/>
      <c r="C21" s="45" t="s">
        <v>69</v>
      </c>
      <c r="D21" s="45" t="s">
        <v>70</v>
      </c>
      <c r="E21" s="45" t="s">
        <v>71</v>
      </c>
      <c r="F21" s="46">
        <v>10</v>
      </c>
      <c r="G21" s="46">
        <v>0</v>
      </c>
      <c r="H21" s="46">
        <f>ROUND(F21*AE21,2)</f>
        <v>0</v>
      </c>
      <c r="I21" s="46">
        <f>J21-H21</f>
        <v>0</v>
      </c>
      <c r="J21" s="46">
        <f>ROUND(F21*G21,2)</f>
        <v>0</v>
      </c>
      <c r="K21" s="46">
        <v>0</v>
      </c>
      <c r="L21" s="46">
        <f>F21*K21</f>
        <v>0</v>
      </c>
      <c r="M21" s="20"/>
      <c r="N21" s="47" t="s">
        <v>47</v>
      </c>
      <c r="O21" s="48">
        <f>IF(N21="5",I21,0)</f>
        <v>0</v>
      </c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8">
        <f>IF(AD21=0,J21,0)</f>
        <v>0</v>
      </c>
      <c r="AA21" s="48">
        <f>IF(AD21=10,J21,0)</f>
        <v>0</v>
      </c>
      <c r="AB21" s="48">
        <f>IF(AD21=20,J21,0)</f>
        <v>0</v>
      </c>
      <c r="AC21" s="20"/>
      <c r="AD21" s="48">
        <v>10</v>
      </c>
      <c r="AE21" s="48">
        <f>G21*0</f>
        <v>0</v>
      </c>
      <c r="AF21" s="48">
        <f>G21*(1-0)</f>
        <v>0</v>
      </c>
      <c r="AG21" s="20"/>
      <c r="AH21" s="20"/>
      <c r="AI21" s="49"/>
      <c r="AJ21" s="49"/>
      <c r="AK21" s="49"/>
      <c r="AL21" s="20"/>
    </row>
    <row r="22" spans="1:38" ht="13.7" customHeight="1" x14ac:dyDescent="0.2">
      <c r="A22" s="62"/>
      <c r="B22" s="63"/>
      <c r="C22" s="64" t="s">
        <v>72</v>
      </c>
      <c r="D22" s="95" t="s">
        <v>73</v>
      </c>
      <c r="E22" s="96"/>
      <c r="F22" s="96"/>
      <c r="G22" s="96"/>
      <c r="H22" s="43">
        <v>0</v>
      </c>
      <c r="I22" s="43">
        <v>0</v>
      </c>
      <c r="J22" s="43">
        <f>H22+I22</f>
        <v>0</v>
      </c>
      <c r="K22" s="35"/>
      <c r="L22" s="43">
        <v>0</v>
      </c>
      <c r="M22" s="42"/>
      <c r="N22" s="20"/>
      <c r="O22" s="34"/>
      <c r="P22" s="65"/>
      <c r="Q22" s="35" t="s">
        <v>46</v>
      </c>
      <c r="R22" s="43">
        <f>IF(Q22="HS",H22,0)</f>
        <v>0</v>
      </c>
      <c r="S22" s="43">
        <f>IF(Q22="HS",I22-P22,0)</f>
        <v>0</v>
      </c>
      <c r="T22" s="43">
        <f>IF(Q22="PS",H22,0)</f>
        <v>0</v>
      </c>
      <c r="U22" s="43">
        <f>IF(Q22="PS",I22-P22,0)</f>
        <v>0</v>
      </c>
      <c r="V22" s="43">
        <f>IF(Q22="MP",H22,0)</f>
        <v>0</v>
      </c>
      <c r="W22" s="43">
        <f>IF(Q22="MP",I22-P22,0)</f>
        <v>0</v>
      </c>
      <c r="X22" s="43">
        <f>IF(Q22="OM",H22,0)</f>
        <v>0</v>
      </c>
      <c r="Y22" s="35"/>
      <c r="Z22" s="42"/>
      <c r="AA22" s="20"/>
      <c r="AB22" s="20"/>
      <c r="AC22" s="20"/>
      <c r="AD22" s="20"/>
      <c r="AE22" s="20"/>
      <c r="AF22" s="20"/>
      <c r="AG22" s="20"/>
      <c r="AH22" s="34"/>
      <c r="AI22" s="65"/>
      <c r="AJ22" s="65"/>
      <c r="AK22" s="66"/>
      <c r="AL22" s="20"/>
    </row>
    <row r="23" spans="1:38" ht="13.7" customHeight="1" x14ac:dyDescent="0.2">
      <c r="A23" s="50"/>
      <c r="B23" s="51"/>
      <c r="C23" s="52" t="s">
        <v>74</v>
      </c>
      <c r="D23" s="103" t="s">
        <v>75</v>
      </c>
      <c r="E23" s="104"/>
      <c r="F23" s="104"/>
      <c r="G23" s="104"/>
      <c r="H23" s="53">
        <f>SUM(H24:H25)</f>
        <v>0</v>
      </c>
      <c r="I23" s="53">
        <f>SUM(I24:I25)</f>
        <v>0</v>
      </c>
      <c r="J23" s="53">
        <f>H23+I23</f>
        <v>0</v>
      </c>
      <c r="K23" s="54"/>
      <c r="L23" s="53">
        <f>SUM(L24:L25)</f>
        <v>1.96895</v>
      </c>
      <c r="M23" s="42"/>
      <c r="N23" s="20"/>
      <c r="O23" s="34"/>
      <c r="P23" s="53">
        <f>IF(Q23="PR",J23,SUM(O24:O25))</f>
        <v>0</v>
      </c>
      <c r="Q23" s="54" t="s">
        <v>46</v>
      </c>
      <c r="R23" s="53">
        <f>IF(Q23="HS",H23,0)</f>
        <v>0</v>
      </c>
      <c r="S23" s="53">
        <f>IF(Q23="HS",I23-P23,0)</f>
        <v>0</v>
      </c>
      <c r="T23" s="53">
        <f>IF(Q23="PS",H23,0)</f>
        <v>0</v>
      </c>
      <c r="U23" s="53">
        <f>IF(Q23="PS",I23-P23,0)</f>
        <v>0</v>
      </c>
      <c r="V23" s="53">
        <f>IF(Q23="MP",H23,0)</f>
        <v>0</v>
      </c>
      <c r="W23" s="53">
        <f>IF(Q23="MP",I23-P23,0)</f>
        <v>0</v>
      </c>
      <c r="X23" s="53">
        <f>IF(Q23="OM",H23,0)</f>
        <v>0</v>
      </c>
      <c r="Y23" s="54"/>
      <c r="Z23" s="42"/>
      <c r="AA23" s="20"/>
      <c r="AB23" s="20"/>
      <c r="AC23" s="20"/>
      <c r="AD23" s="20"/>
      <c r="AE23" s="20"/>
      <c r="AF23" s="20"/>
      <c r="AG23" s="20"/>
      <c r="AH23" s="34"/>
      <c r="AI23" s="53">
        <f>SUM(Z24:Z25)</f>
        <v>0</v>
      </c>
      <c r="AJ23" s="53">
        <f>SUM(AA24:AA25)</f>
        <v>0</v>
      </c>
      <c r="AK23" s="55">
        <f>SUM(AB24:AB25)</f>
        <v>0</v>
      </c>
      <c r="AL23" s="20"/>
    </row>
    <row r="24" spans="1:38" ht="13.7" customHeight="1" x14ac:dyDescent="0.2">
      <c r="A24" s="21" t="s">
        <v>76</v>
      </c>
      <c r="B24" s="21"/>
      <c r="C24" s="21" t="s">
        <v>77</v>
      </c>
      <c r="D24" s="21" t="s">
        <v>78</v>
      </c>
      <c r="E24" s="21" t="s">
        <v>71</v>
      </c>
      <c r="F24" s="48">
        <v>0.5</v>
      </c>
      <c r="G24" s="48">
        <v>0</v>
      </c>
      <c r="H24" s="48">
        <f>ROUND(F24*AE24,2)</f>
        <v>0</v>
      </c>
      <c r="I24" s="48">
        <f>J24-H24</f>
        <v>0</v>
      </c>
      <c r="J24" s="48">
        <f>ROUND(F24*G24,2)</f>
        <v>0</v>
      </c>
      <c r="K24" s="48">
        <v>0.33563999999999999</v>
      </c>
      <c r="L24" s="48">
        <f>F24*K24</f>
        <v>0.16782</v>
      </c>
      <c r="M24" s="20"/>
      <c r="N24" s="47" t="s">
        <v>47</v>
      </c>
      <c r="O24" s="48">
        <f>IF(N24="5",I24,0)</f>
        <v>0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48">
        <f>IF(AD24=0,J24,0)</f>
        <v>0</v>
      </c>
      <c r="AA24" s="48">
        <f>IF(AD24=10,J24,0)</f>
        <v>0</v>
      </c>
      <c r="AB24" s="48">
        <f>IF(AD24=20,J24,0)</f>
        <v>0</v>
      </c>
      <c r="AC24" s="20"/>
      <c r="AD24" s="48">
        <v>10</v>
      </c>
      <c r="AE24" s="48">
        <f>G24*0.743209424403345</f>
        <v>0</v>
      </c>
      <c r="AF24" s="48">
        <f>G24*(1-0.743209424403345)</f>
        <v>0</v>
      </c>
      <c r="AG24" s="20"/>
      <c r="AH24" s="20"/>
      <c r="AI24" s="20"/>
      <c r="AJ24" s="20"/>
      <c r="AK24" s="20"/>
      <c r="AL24" s="20"/>
    </row>
    <row r="25" spans="1:38" ht="13.7" customHeight="1" x14ac:dyDescent="0.2">
      <c r="A25" s="21" t="s">
        <v>79</v>
      </c>
      <c r="B25" s="21"/>
      <c r="C25" s="21" t="s">
        <v>80</v>
      </c>
      <c r="D25" s="21" t="s">
        <v>81</v>
      </c>
      <c r="E25" s="21" t="s">
        <v>50</v>
      </c>
      <c r="F25" s="48">
        <v>1</v>
      </c>
      <c r="G25" s="48">
        <v>0</v>
      </c>
      <c r="H25" s="48">
        <f>ROUND(F25*AE25,2)</f>
        <v>0</v>
      </c>
      <c r="I25" s="48">
        <f>J25-H25</f>
        <v>0</v>
      </c>
      <c r="J25" s="48">
        <f>ROUND(F25*G25,2)</f>
        <v>0</v>
      </c>
      <c r="K25" s="48">
        <v>1.8011299999999999</v>
      </c>
      <c r="L25" s="48">
        <f>F25*K25</f>
        <v>1.8011299999999999</v>
      </c>
      <c r="M25" s="20"/>
      <c r="N25" s="47" t="s">
        <v>82</v>
      </c>
      <c r="O25" s="48">
        <f>IF(N25="5",I25,0)</f>
        <v>0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48">
        <f>IF(AD25=0,J25,0)</f>
        <v>0</v>
      </c>
      <c r="AA25" s="48">
        <f>IF(AD25=10,J25,0)</f>
        <v>0</v>
      </c>
      <c r="AB25" s="48">
        <f>IF(AD25=20,J25,0)</f>
        <v>0</v>
      </c>
      <c r="AC25" s="20"/>
      <c r="AD25" s="48">
        <v>10</v>
      </c>
      <c r="AE25" s="48">
        <f>G25*0.661016838688794</f>
        <v>0</v>
      </c>
      <c r="AF25" s="48">
        <f>G25*(1-0.661016838688794)</f>
        <v>0</v>
      </c>
      <c r="AG25" s="20"/>
      <c r="AH25" s="20"/>
      <c r="AI25" s="20"/>
      <c r="AJ25" s="20"/>
      <c r="AK25" s="20"/>
      <c r="AL25" s="20"/>
    </row>
    <row r="26" spans="1:38" ht="13.7" customHeight="1" x14ac:dyDescent="0.2">
      <c r="A26" s="56"/>
      <c r="B26" s="57"/>
      <c r="C26" s="58" t="s">
        <v>83</v>
      </c>
      <c r="D26" s="105" t="s">
        <v>84</v>
      </c>
      <c r="E26" s="100"/>
      <c r="F26" s="100"/>
      <c r="G26" s="100"/>
      <c r="H26" s="59">
        <f>SUM(H27:H28)</f>
        <v>0</v>
      </c>
      <c r="I26" s="59">
        <f>SUM(I27:I28)</f>
        <v>0</v>
      </c>
      <c r="J26" s="59">
        <f>H26+I26</f>
        <v>0</v>
      </c>
      <c r="K26" s="60"/>
      <c r="L26" s="59">
        <f>SUM(L27:L28)</f>
        <v>0.77366000000000001</v>
      </c>
      <c r="M26" s="42"/>
      <c r="N26" s="20"/>
      <c r="O26" s="34"/>
      <c r="P26" s="59">
        <f>IF(Q26="PR",J26,SUM(O27:O28))</f>
        <v>0</v>
      </c>
      <c r="Q26" s="60" t="s">
        <v>46</v>
      </c>
      <c r="R26" s="59">
        <f>IF(Q26="HS",H26,0)</f>
        <v>0</v>
      </c>
      <c r="S26" s="59">
        <f>IF(Q26="HS",I26-P26,0)</f>
        <v>0</v>
      </c>
      <c r="T26" s="59">
        <f>IF(Q26="PS",H26,0)</f>
        <v>0</v>
      </c>
      <c r="U26" s="59">
        <f>IF(Q26="PS",I26-P26,0)</f>
        <v>0</v>
      </c>
      <c r="V26" s="59">
        <f>IF(Q26="MP",H26,0)</f>
        <v>0</v>
      </c>
      <c r="W26" s="59">
        <f>IF(Q26="MP",I26-P26,0)</f>
        <v>0</v>
      </c>
      <c r="X26" s="59">
        <f>IF(Q26="OM",H26,0)</f>
        <v>0</v>
      </c>
      <c r="Y26" s="60"/>
      <c r="Z26" s="42"/>
      <c r="AA26" s="20"/>
      <c r="AB26" s="20"/>
      <c r="AC26" s="20"/>
      <c r="AD26" s="20"/>
      <c r="AE26" s="20"/>
      <c r="AF26" s="20"/>
      <c r="AG26" s="20"/>
      <c r="AH26" s="34"/>
      <c r="AI26" s="59">
        <f>SUM(Z27:Z28)</f>
        <v>0</v>
      </c>
      <c r="AJ26" s="59">
        <f>SUM(AA27:AA28)</f>
        <v>0</v>
      </c>
      <c r="AK26" s="61">
        <f>SUM(AB27:AB28)</f>
        <v>0</v>
      </c>
      <c r="AL26" s="20"/>
    </row>
    <row r="27" spans="1:38" ht="13.7" customHeight="1" x14ac:dyDescent="0.2">
      <c r="A27" s="67" t="s">
        <v>85</v>
      </c>
      <c r="B27" s="67"/>
      <c r="C27" s="67" t="s">
        <v>86</v>
      </c>
      <c r="D27" s="67" t="s">
        <v>87</v>
      </c>
      <c r="E27" s="67" t="s">
        <v>71</v>
      </c>
      <c r="F27" s="68">
        <v>6.1</v>
      </c>
      <c r="G27" s="68">
        <v>0</v>
      </c>
      <c r="H27" s="68">
        <f>ROUND(F27*AE27,2)</f>
        <v>0</v>
      </c>
      <c r="I27" s="68">
        <f>J27-H27</f>
        <v>0</v>
      </c>
      <c r="J27" s="68">
        <f>ROUND(F27*G27,2)</f>
        <v>0</v>
      </c>
      <c r="K27" s="68">
        <v>0.124</v>
      </c>
      <c r="L27" s="68">
        <f>F27*K27</f>
        <v>0.75639999999999996</v>
      </c>
      <c r="M27" s="20"/>
      <c r="N27" s="47" t="s">
        <v>47</v>
      </c>
      <c r="O27" s="48">
        <f>IF(N27="5",I27,0)</f>
        <v>0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48">
        <f>IF(AD27=0,J27,0)</f>
        <v>0</v>
      </c>
      <c r="AA27" s="48">
        <f>IF(AD27=10,J27,0)</f>
        <v>0</v>
      </c>
      <c r="AB27" s="48">
        <f>IF(AD27=20,J27,0)</f>
        <v>0</v>
      </c>
      <c r="AC27" s="20"/>
      <c r="AD27" s="48">
        <v>10</v>
      </c>
      <c r="AE27" s="48">
        <f>G27*0.720730746841078</f>
        <v>0</v>
      </c>
      <c r="AF27" s="48">
        <f>G27*(1-0.720730746841078)</f>
        <v>0</v>
      </c>
      <c r="AG27" s="20"/>
      <c r="AH27" s="20"/>
      <c r="AI27" s="69"/>
      <c r="AJ27" s="69"/>
      <c r="AK27" s="69"/>
      <c r="AL27" s="20"/>
    </row>
    <row r="28" spans="1:38" ht="13.7" customHeight="1" x14ac:dyDescent="0.2">
      <c r="A28" s="21" t="s">
        <v>88</v>
      </c>
      <c r="B28" s="21"/>
      <c r="C28" s="21" t="s">
        <v>89</v>
      </c>
      <c r="D28" s="21" t="s">
        <v>90</v>
      </c>
      <c r="E28" s="21" t="s">
        <v>91</v>
      </c>
      <c r="F28" s="48">
        <v>1</v>
      </c>
      <c r="G28" s="48">
        <v>0</v>
      </c>
      <c r="H28" s="48">
        <f>ROUND(F28*AE28,2)</f>
        <v>0</v>
      </c>
      <c r="I28" s="48">
        <f>J28-H28</f>
        <v>0</v>
      </c>
      <c r="J28" s="48">
        <f>ROUND(F28*G28,2)</f>
        <v>0</v>
      </c>
      <c r="K28" s="48">
        <v>1.7260000000000001E-2</v>
      </c>
      <c r="L28" s="48">
        <f>F28*K28</f>
        <v>1.7260000000000001E-2</v>
      </c>
      <c r="M28" s="20"/>
      <c r="N28" s="47" t="s">
        <v>47</v>
      </c>
      <c r="O28" s="48">
        <f>IF(N28="5",I28,0)</f>
        <v>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48">
        <f>IF(AD28=0,J28,0)</f>
        <v>0</v>
      </c>
      <c r="AA28" s="48">
        <f>IF(AD28=10,J28,0)</f>
        <v>0</v>
      </c>
      <c r="AB28" s="48">
        <f>IF(AD28=20,J28,0)</f>
        <v>0</v>
      </c>
      <c r="AC28" s="20"/>
      <c r="AD28" s="48">
        <v>10</v>
      </c>
      <c r="AE28" s="48">
        <f>G28*0.663895775606436</f>
        <v>0</v>
      </c>
      <c r="AF28" s="48">
        <f>G28*(1-0.663895775606436)</f>
        <v>0</v>
      </c>
      <c r="AG28" s="20"/>
      <c r="AH28" s="20"/>
      <c r="AI28" s="20"/>
      <c r="AJ28" s="20"/>
      <c r="AK28" s="20"/>
      <c r="AL28" s="20"/>
    </row>
    <row r="29" spans="1:38" ht="13.7" customHeight="1" x14ac:dyDescent="0.2">
      <c r="A29" s="70"/>
      <c r="B29" s="71"/>
      <c r="C29" s="72" t="s">
        <v>92</v>
      </c>
      <c r="D29" s="101" t="s">
        <v>93</v>
      </c>
      <c r="E29" s="102"/>
      <c r="F29" s="102"/>
      <c r="G29" s="102"/>
      <c r="H29" s="73">
        <f>SUM(H30:H30)</f>
        <v>0</v>
      </c>
      <c r="I29" s="73">
        <f>SUM(I30:I30)</f>
        <v>0</v>
      </c>
      <c r="J29" s="73">
        <f>H29+I29</f>
        <v>0</v>
      </c>
      <c r="K29" s="74"/>
      <c r="L29" s="73">
        <f>SUM(L30:L30)</f>
        <v>3.678E-2</v>
      </c>
      <c r="M29" s="42"/>
      <c r="N29" s="20"/>
      <c r="O29" s="34"/>
      <c r="P29" s="73">
        <f>IF(Q29="PR",J29,SUM(O30:O30))</f>
        <v>0</v>
      </c>
      <c r="Q29" s="74" t="s">
        <v>46</v>
      </c>
      <c r="R29" s="73">
        <f>IF(Q29="HS",H29,0)</f>
        <v>0</v>
      </c>
      <c r="S29" s="73">
        <f>IF(Q29="HS",I29-P29,0)</f>
        <v>0</v>
      </c>
      <c r="T29" s="73">
        <f>IF(Q29="PS",H29,0)</f>
        <v>0</v>
      </c>
      <c r="U29" s="73">
        <f>IF(Q29="PS",I29-P29,0)</f>
        <v>0</v>
      </c>
      <c r="V29" s="73">
        <f>IF(Q29="MP",H29,0)</f>
        <v>0</v>
      </c>
      <c r="W29" s="73">
        <f>IF(Q29="MP",I29-P29,0)</f>
        <v>0</v>
      </c>
      <c r="X29" s="73">
        <f>IF(Q29="OM",H29,0)</f>
        <v>0</v>
      </c>
      <c r="Y29" s="74"/>
      <c r="Z29" s="42"/>
      <c r="AA29" s="20"/>
      <c r="AB29" s="20"/>
      <c r="AC29" s="20"/>
      <c r="AD29" s="20"/>
      <c r="AE29" s="20"/>
      <c r="AF29" s="20"/>
      <c r="AG29" s="20"/>
      <c r="AH29" s="34"/>
      <c r="AI29" s="73">
        <f>SUM(Z30:Z30)</f>
        <v>0</v>
      </c>
      <c r="AJ29" s="73">
        <f>SUM(AA30:AA30)</f>
        <v>0</v>
      </c>
      <c r="AK29" s="75">
        <f>SUM(AB30:AB30)</f>
        <v>0</v>
      </c>
      <c r="AL29" s="20"/>
    </row>
    <row r="30" spans="1:38" ht="13.7" customHeight="1" x14ac:dyDescent="0.2">
      <c r="A30" s="21" t="s">
        <v>94</v>
      </c>
      <c r="B30" s="21"/>
      <c r="C30" s="21" t="s">
        <v>95</v>
      </c>
      <c r="D30" s="21" t="s">
        <v>96</v>
      </c>
      <c r="E30" s="21" t="s">
        <v>71</v>
      </c>
      <c r="F30" s="48">
        <v>2</v>
      </c>
      <c r="G30" s="48">
        <v>0</v>
      </c>
      <c r="H30" s="48">
        <f>ROUND(F30*AE30,2)</f>
        <v>0</v>
      </c>
      <c r="I30" s="48">
        <f>J30-H30</f>
        <v>0</v>
      </c>
      <c r="J30" s="48">
        <f>ROUND(F30*G30,2)</f>
        <v>0</v>
      </c>
      <c r="K30" s="48">
        <v>1.839E-2</v>
      </c>
      <c r="L30" s="48">
        <f>F30*K30</f>
        <v>3.678E-2</v>
      </c>
      <c r="M30" s="20"/>
      <c r="N30" s="47" t="s">
        <v>47</v>
      </c>
      <c r="O30" s="48">
        <f>IF(N30="5",I30,0)</f>
        <v>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48">
        <f>IF(AD30=0,J30,0)</f>
        <v>0</v>
      </c>
      <c r="AA30" s="48">
        <f>IF(AD30=10,J30,0)</f>
        <v>0</v>
      </c>
      <c r="AB30" s="48">
        <f>IF(AD30=20,J30,0)</f>
        <v>0</v>
      </c>
      <c r="AC30" s="20"/>
      <c r="AD30" s="48">
        <v>10</v>
      </c>
      <c r="AE30" s="48">
        <f>G30*0.507521327600181</f>
        <v>0</v>
      </c>
      <c r="AF30" s="48">
        <f>G30*(1-0.507521327600181)</f>
        <v>0</v>
      </c>
      <c r="AG30" s="20"/>
      <c r="AH30" s="20"/>
      <c r="AI30" s="20"/>
      <c r="AJ30" s="20"/>
      <c r="AK30" s="20"/>
      <c r="AL30" s="20"/>
    </row>
    <row r="31" spans="1:38" ht="13.7" customHeight="1" x14ac:dyDescent="0.2">
      <c r="A31" s="56"/>
      <c r="B31" s="57"/>
      <c r="C31" s="58" t="s">
        <v>58</v>
      </c>
      <c r="D31" s="105" t="s">
        <v>97</v>
      </c>
      <c r="E31" s="100"/>
      <c r="F31" s="100"/>
      <c r="G31" s="100"/>
      <c r="H31" s="59">
        <v>0</v>
      </c>
      <c r="I31" s="59">
        <v>0</v>
      </c>
      <c r="J31" s="59">
        <f>H31+I31</f>
        <v>0</v>
      </c>
      <c r="K31" s="60"/>
      <c r="L31" s="59">
        <v>0</v>
      </c>
      <c r="M31" s="42"/>
      <c r="N31" s="20"/>
      <c r="O31" s="34"/>
      <c r="P31" s="76"/>
      <c r="Q31" s="60" t="s">
        <v>46</v>
      </c>
      <c r="R31" s="59">
        <f>IF(Q31="HS",H31,0)</f>
        <v>0</v>
      </c>
      <c r="S31" s="59">
        <f>IF(Q31="HS",I31-P31,0)</f>
        <v>0</v>
      </c>
      <c r="T31" s="59">
        <f>IF(Q31="PS",H31,0)</f>
        <v>0</v>
      </c>
      <c r="U31" s="59">
        <f>IF(Q31="PS",I31-P31,0)</f>
        <v>0</v>
      </c>
      <c r="V31" s="59">
        <f>IF(Q31="MP",H31,0)</f>
        <v>0</v>
      </c>
      <c r="W31" s="59">
        <f>IF(Q31="MP",I31-P31,0)</f>
        <v>0</v>
      </c>
      <c r="X31" s="59">
        <f>IF(Q31="OM",H31,0)</f>
        <v>0</v>
      </c>
      <c r="Y31" s="60"/>
      <c r="Z31" s="42"/>
      <c r="AA31" s="20"/>
      <c r="AB31" s="20"/>
      <c r="AC31" s="20"/>
      <c r="AD31" s="20"/>
      <c r="AE31" s="20"/>
      <c r="AF31" s="20"/>
      <c r="AG31" s="20"/>
      <c r="AH31" s="34"/>
      <c r="AI31" s="76"/>
      <c r="AJ31" s="76"/>
      <c r="AK31" s="77"/>
      <c r="AL31" s="20"/>
    </row>
    <row r="32" spans="1:38" ht="13.7" customHeight="1" x14ac:dyDescent="0.2">
      <c r="A32" s="50"/>
      <c r="B32" s="51"/>
      <c r="C32" s="52" t="s">
        <v>98</v>
      </c>
      <c r="D32" s="103" t="s">
        <v>99</v>
      </c>
      <c r="E32" s="104"/>
      <c r="F32" s="104"/>
      <c r="G32" s="104"/>
      <c r="H32" s="53">
        <f>SUM(H33:H34)</f>
        <v>0</v>
      </c>
      <c r="I32" s="53">
        <f>SUM(I33:I34)</f>
        <v>0</v>
      </c>
      <c r="J32" s="53">
        <f>H32+I32</f>
        <v>0</v>
      </c>
      <c r="K32" s="54"/>
      <c r="L32" s="53">
        <f>SUM(L33:L34)</f>
        <v>2.6748500000000002</v>
      </c>
      <c r="M32" s="42"/>
      <c r="N32" s="20"/>
      <c r="O32" s="34"/>
      <c r="P32" s="53">
        <f>IF(Q32="PR",J32,SUM(O33:O34))</f>
        <v>0</v>
      </c>
      <c r="Q32" s="54" t="s">
        <v>46</v>
      </c>
      <c r="R32" s="53">
        <f>IF(Q32="HS",H32,0)</f>
        <v>0</v>
      </c>
      <c r="S32" s="53">
        <f>IF(Q32="HS",I32-P32,0)</f>
        <v>0</v>
      </c>
      <c r="T32" s="53">
        <f>IF(Q32="PS",H32,0)</f>
        <v>0</v>
      </c>
      <c r="U32" s="53">
        <f>IF(Q32="PS",I32-P32,0)</f>
        <v>0</v>
      </c>
      <c r="V32" s="53">
        <f>IF(Q32="MP",H32,0)</f>
        <v>0</v>
      </c>
      <c r="W32" s="53">
        <f>IF(Q32="MP",I32-P32,0)</f>
        <v>0</v>
      </c>
      <c r="X32" s="53">
        <f>IF(Q32="OM",H32,0)</f>
        <v>0</v>
      </c>
      <c r="Y32" s="54"/>
      <c r="Z32" s="42"/>
      <c r="AA32" s="20"/>
      <c r="AB32" s="20"/>
      <c r="AC32" s="20"/>
      <c r="AD32" s="20"/>
      <c r="AE32" s="20"/>
      <c r="AF32" s="20"/>
      <c r="AG32" s="20"/>
      <c r="AH32" s="34"/>
      <c r="AI32" s="53">
        <f>SUM(Z33:Z34)</f>
        <v>0</v>
      </c>
      <c r="AJ32" s="53">
        <f>SUM(AA33:AA34)</f>
        <v>0</v>
      </c>
      <c r="AK32" s="55">
        <f>SUM(AB33:AB34)</f>
        <v>0</v>
      </c>
      <c r="AL32" s="20"/>
    </row>
    <row r="33" spans="1:38" ht="13.7" customHeight="1" x14ac:dyDescent="0.2">
      <c r="A33" s="21" t="s">
        <v>100</v>
      </c>
      <c r="B33" s="21"/>
      <c r="C33" s="21" t="s">
        <v>101</v>
      </c>
      <c r="D33" s="21" t="s">
        <v>102</v>
      </c>
      <c r="E33" s="21" t="s">
        <v>71</v>
      </c>
      <c r="F33" s="48">
        <v>40</v>
      </c>
      <c r="G33" s="48">
        <v>0</v>
      </c>
      <c r="H33" s="48">
        <f>ROUND(F33*AE33,2)</f>
        <v>0</v>
      </c>
      <c r="I33" s="48">
        <f>J33-H33</f>
        <v>0</v>
      </c>
      <c r="J33" s="48">
        <f>ROUND(F33*G33,2)</f>
        <v>0</v>
      </c>
      <c r="K33" s="48">
        <v>4.7660000000000001E-2</v>
      </c>
      <c r="L33" s="48">
        <f>F33*K33</f>
        <v>1.9064000000000001</v>
      </c>
      <c r="M33" s="20"/>
      <c r="N33" s="47" t="s">
        <v>47</v>
      </c>
      <c r="O33" s="48">
        <f>IF(N33="5",I33,0)</f>
        <v>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48">
        <f>IF(AD33=0,J33,0)</f>
        <v>0</v>
      </c>
      <c r="AA33" s="48">
        <f>IF(AD33=10,J33,0)</f>
        <v>0</v>
      </c>
      <c r="AB33" s="48">
        <f>IF(AD33=20,J33,0)</f>
        <v>0</v>
      </c>
      <c r="AC33" s="20"/>
      <c r="AD33" s="48">
        <v>10</v>
      </c>
      <c r="AE33" s="48">
        <f>G33*0.164585698070375</f>
        <v>0</v>
      </c>
      <c r="AF33" s="48">
        <f>G33*(1-0.164585698070375)</f>
        <v>0</v>
      </c>
      <c r="AG33" s="20"/>
      <c r="AH33" s="20"/>
      <c r="AI33" s="20"/>
      <c r="AJ33" s="20"/>
      <c r="AK33" s="20"/>
      <c r="AL33" s="20"/>
    </row>
    <row r="34" spans="1:38" ht="13.7" customHeight="1" x14ac:dyDescent="0.2">
      <c r="A34" s="21" t="s">
        <v>98</v>
      </c>
      <c r="B34" s="21"/>
      <c r="C34" s="21" t="s">
        <v>103</v>
      </c>
      <c r="D34" s="21" t="s">
        <v>104</v>
      </c>
      <c r="E34" s="21" t="s">
        <v>71</v>
      </c>
      <c r="F34" s="48">
        <v>15</v>
      </c>
      <c r="G34" s="48">
        <v>0</v>
      </c>
      <c r="H34" s="48">
        <f>ROUND(F34*AE34,2)</f>
        <v>0</v>
      </c>
      <c r="I34" s="48">
        <f>J34-H34</f>
        <v>0</v>
      </c>
      <c r="J34" s="48">
        <f>ROUND(F34*G34,2)</f>
        <v>0</v>
      </c>
      <c r="K34" s="48">
        <v>5.1229999999999998E-2</v>
      </c>
      <c r="L34" s="48">
        <f>F34*K34</f>
        <v>0.76844999999999997</v>
      </c>
      <c r="M34" s="20"/>
      <c r="N34" s="47" t="s">
        <v>47</v>
      </c>
      <c r="O34" s="48">
        <f>IF(N34="5",I34,0)</f>
        <v>0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48">
        <f>IF(AD34=0,J34,0)</f>
        <v>0</v>
      </c>
      <c r="AA34" s="48">
        <f>IF(AD34=10,J34,0)</f>
        <v>0</v>
      </c>
      <c r="AB34" s="48">
        <f>IF(AD34=20,J34,0)</f>
        <v>0</v>
      </c>
      <c r="AC34" s="20"/>
      <c r="AD34" s="48">
        <v>10</v>
      </c>
      <c r="AE34" s="48">
        <f>G34*0.202190219806069</f>
        <v>0</v>
      </c>
      <c r="AF34" s="48">
        <f>G34*(1-0.202190219806069)</f>
        <v>0</v>
      </c>
      <c r="AG34" s="20"/>
      <c r="AH34" s="20"/>
      <c r="AI34" s="20"/>
      <c r="AJ34" s="20"/>
      <c r="AK34" s="20"/>
      <c r="AL34" s="20"/>
    </row>
    <row r="35" spans="1:38" ht="13.7" customHeight="1" x14ac:dyDescent="0.2">
      <c r="A35" s="56"/>
      <c r="B35" s="57"/>
      <c r="C35" s="58" t="s">
        <v>105</v>
      </c>
      <c r="D35" s="105" t="s">
        <v>106</v>
      </c>
      <c r="E35" s="100"/>
      <c r="F35" s="100"/>
      <c r="G35" s="100"/>
      <c r="H35" s="59">
        <v>0</v>
      </c>
      <c r="I35" s="59">
        <v>0</v>
      </c>
      <c r="J35" s="59">
        <f>H35+I35</f>
        <v>0</v>
      </c>
      <c r="K35" s="60"/>
      <c r="L35" s="59">
        <v>0</v>
      </c>
      <c r="M35" s="42"/>
      <c r="N35" s="20"/>
      <c r="O35" s="34"/>
      <c r="P35" s="76"/>
      <c r="Q35" s="60" t="s">
        <v>46</v>
      </c>
      <c r="R35" s="59">
        <f>IF(Q35="HS",H35,0)</f>
        <v>0</v>
      </c>
      <c r="S35" s="59">
        <f>IF(Q35="HS",I35-P35,0)</f>
        <v>0</v>
      </c>
      <c r="T35" s="59">
        <f>IF(Q35="PS",H35,0)</f>
        <v>0</v>
      </c>
      <c r="U35" s="59">
        <f>IF(Q35="PS",I35-P35,0)</f>
        <v>0</v>
      </c>
      <c r="V35" s="59">
        <f>IF(Q35="MP",H35,0)</f>
        <v>0</v>
      </c>
      <c r="W35" s="59">
        <f>IF(Q35="MP",I35-P35,0)</f>
        <v>0</v>
      </c>
      <c r="X35" s="59">
        <f>IF(Q35="OM",H35,0)</f>
        <v>0</v>
      </c>
      <c r="Y35" s="60"/>
      <c r="Z35" s="42"/>
      <c r="AA35" s="20"/>
      <c r="AB35" s="20"/>
      <c r="AC35" s="20"/>
      <c r="AD35" s="20"/>
      <c r="AE35" s="20"/>
      <c r="AF35" s="20"/>
      <c r="AG35" s="20"/>
      <c r="AH35" s="34"/>
      <c r="AI35" s="76"/>
      <c r="AJ35" s="76"/>
      <c r="AK35" s="77"/>
      <c r="AL35" s="20"/>
    </row>
    <row r="36" spans="1:38" ht="13.7" customHeight="1" x14ac:dyDescent="0.2">
      <c r="A36" s="50"/>
      <c r="B36" s="51"/>
      <c r="C36" s="52" t="s">
        <v>107</v>
      </c>
      <c r="D36" s="103" t="s">
        <v>108</v>
      </c>
      <c r="E36" s="104"/>
      <c r="F36" s="104"/>
      <c r="G36" s="104"/>
      <c r="H36" s="53">
        <f>SUM(H37:H37)</f>
        <v>0</v>
      </c>
      <c r="I36" s="53">
        <f>SUM(I37:I37)</f>
        <v>0</v>
      </c>
      <c r="J36" s="53">
        <f>H36+I36</f>
        <v>0</v>
      </c>
      <c r="K36" s="54"/>
      <c r="L36" s="53">
        <f>SUM(L37:L37)</f>
        <v>4.4806629999999998</v>
      </c>
      <c r="M36" s="42"/>
      <c r="N36" s="20"/>
      <c r="O36" s="34"/>
      <c r="P36" s="53">
        <f>IF(Q36="PR",J36,SUM(O37:O37))</f>
        <v>0</v>
      </c>
      <c r="Q36" s="54" t="s">
        <v>46</v>
      </c>
      <c r="R36" s="53">
        <f>IF(Q36="HS",H36,0)</f>
        <v>0</v>
      </c>
      <c r="S36" s="53">
        <f>IF(Q36="HS",I36-P36,0)</f>
        <v>0</v>
      </c>
      <c r="T36" s="53">
        <f>IF(Q36="PS",H36,0)</f>
        <v>0</v>
      </c>
      <c r="U36" s="53">
        <f>IF(Q36="PS",I36-P36,0)</f>
        <v>0</v>
      </c>
      <c r="V36" s="53">
        <f>IF(Q36="MP",H36,0)</f>
        <v>0</v>
      </c>
      <c r="W36" s="53">
        <f>IF(Q36="MP",I36-P36,0)</f>
        <v>0</v>
      </c>
      <c r="X36" s="53">
        <f>IF(Q36="OM",H36,0)</f>
        <v>0</v>
      </c>
      <c r="Y36" s="54"/>
      <c r="Z36" s="42"/>
      <c r="AA36" s="20"/>
      <c r="AB36" s="20"/>
      <c r="AC36" s="20"/>
      <c r="AD36" s="20"/>
      <c r="AE36" s="20"/>
      <c r="AF36" s="20"/>
      <c r="AG36" s="20"/>
      <c r="AH36" s="34"/>
      <c r="AI36" s="53">
        <f>SUM(Z37:Z37)</f>
        <v>0</v>
      </c>
      <c r="AJ36" s="53">
        <f>SUM(AA37:AA37)</f>
        <v>0</v>
      </c>
      <c r="AK36" s="55">
        <f>SUM(AB37:AB37)</f>
        <v>0</v>
      </c>
      <c r="AL36" s="20"/>
    </row>
    <row r="37" spans="1:38" ht="13.7" customHeight="1" x14ac:dyDescent="0.2">
      <c r="A37" s="21" t="s">
        <v>109</v>
      </c>
      <c r="B37" s="21"/>
      <c r="C37" s="21" t="s">
        <v>110</v>
      </c>
      <c r="D37" s="21" t="s">
        <v>111</v>
      </c>
      <c r="E37" s="21" t="s">
        <v>50</v>
      </c>
      <c r="F37" s="48">
        <v>1.85</v>
      </c>
      <c r="G37" s="48">
        <v>0</v>
      </c>
      <c r="H37" s="48">
        <f>ROUND(F37*AE37,2)</f>
        <v>0</v>
      </c>
      <c r="I37" s="48">
        <f>J37-H37</f>
        <v>0</v>
      </c>
      <c r="J37" s="48">
        <f>ROUND(F37*G37,2)</f>
        <v>0</v>
      </c>
      <c r="K37" s="48">
        <v>2.42198</v>
      </c>
      <c r="L37" s="48">
        <f>F37*K37</f>
        <v>4.4806629999999998</v>
      </c>
      <c r="M37" s="20"/>
      <c r="N37" s="47" t="s">
        <v>47</v>
      </c>
      <c r="O37" s="48">
        <f>IF(N37="5",I37,0)</f>
        <v>0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48">
        <f>IF(AD37=0,J37,0)</f>
        <v>0</v>
      </c>
      <c r="AA37" s="48">
        <f>IF(AD37=10,J37,0)</f>
        <v>0</v>
      </c>
      <c r="AB37" s="48">
        <f>IF(AD37=20,J37,0)</f>
        <v>0</v>
      </c>
      <c r="AC37" s="20"/>
      <c r="AD37" s="48">
        <v>10</v>
      </c>
      <c r="AE37" s="48">
        <f>G37*0.800918961048377</f>
        <v>0</v>
      </c>
      <c r="AF37" s="48">
        <f>G37*(1-0.800918961048377)</f>
        <v>0</v>
      </c>
      <c r="AG37" s="20"/>
      <c r="AH37" s="20"/>
      <c r="AI37" s="20"/>
      <c r="AJ37" s="20"/>
      <c r="AK37" s="20"/>
      <c r="AL37" s="20"/>
    </row>
    <row r="38" spans="1:38" ht="13.7" customHeight="1" x14ac:dyDescent="0.2">
      <c r="A38" s="70"/>
      <c r="B38" s="71"/>
      <c r="C38" s="72" t="s">
        <v>112</v>
      </c>
      <c r="D38" s="101" t="s">
        <v>113</v>
      </c>
      <c r="E38" s="102"/>
      <c r="F38" s="102"/>
      <c r="G38" s="102"/>
      <c r="H38" s="73">
        <f>SUM(H39:H41)</f>
        <v>0</v>
      </c>
      <c r="I38" s="73">
        <f>SUM(I39:I41)</f>
        <v>0</v>
      </c>
      <c r="J38" s="73">
        <f>H38+I38</f>
        <v>0</v>
      </c>
      <c r="K38" s="74"/>
      <c r="L38" s="73">
        <f>SUM(L39:L41)</f>
        <v>2.0639999999999999E-2</v>
      </c>
      <c r="M38" s="42"/>
      <c r="N38" s="20"/>
      <c r="O38" s="34"/>
      <c r="P38" s="73">
        <f>IF(Q38="PR",J38,SUM(O39:O41))</f>
        <v>0</v>
      </c>
      <c r="Q38" s="74" t="s">
        <v>114</v>
      </c>
      <c r="R38" s="73">
        <f>IF(Q38="HS",H38,0)</f>
        <v>0</v>
      </c>
      <c r="S38" s="73">
        <f>IF(Q38="HS",I38-P38,0)</f>
        <v>0</v>
      </c>
      <c r="T38" s="73">
        <f>IF(Q38="PS",H38,0)</f>
        <v>0</v>
      </c>
      <c r="U38" s="73">
        <f>IF(Q38="PS",I38-P38,0)</f>
        <v>0</v>
      </c>
      <c r="V38" s="73">
        <f>IF(Q38="MP",H38,0)</f>
        <v>0</v>
      </c>
      <c r="W38" s="73">
        <f>IF(Q38="MP",I38-P38,0)</f>
        <v>0</v>
      </c>
      <c r="X38" s="73">
        <f>IF(Q38="OM",H38,0)</f>
        <v>0</v>
      </c>
      <c r="Y38" s="74"/>
      <c r="Z38" s="42"/>
      <c r="AA38" s="20"/>
      <c r="AB38" s="20"/>
      <c r="AC38" s="20"/>
      <c r="AD38" s="20"/>
      <c r="AE38" s="20"/>
      <c r="AF38" s="20"/>
      <c r="AG38" s="20"/>
      <c r="AH38" s="34"/>
      <c r="AI38" s="73">
        <f>SUM(Z39:Z41)</f>
        <v>0</v>
      </c>
      <c r="AJ38" s="73">
        <f>SUM(AA39:AA41)</f>
        <v>0</v>
      </c>
      <c r="AK38" s="75">
        <f>SUM(AB39:AB41)</f>
        <v>0</v>
      </c>
      <c r="AL38" s="20"/>
    </row>
    <row r="39" spans="1:38" ht="13.7" customHeight="1" x14ac:dyDescent="0.2">
      <c r="A39" s="21" t="s">
        <v>115</v>
      </c>
      <c r="B39" s="21"/>
      <c r="C39" s="21" t="s">
        <v>116</v>
      </c>
      <c r="D39" s="21" t="s">
        <v>117</v>
      </c>
      <c r="E39" s="21" t="s">
        <v>71</v>
      </c>
      <c r="F39" s="48">
        <v>42</v>
      </c>
      <c r="G39" s="48">
        <v>0</v>
      </c>
      <c r="H39" s="48">
        <f>ROUND(F39*AE39,2)</f>
        <v>0</v>
      </c>
      <c r="I39" s="48">
        <f>J39-H39</f>
        <v>0</v>
      </c>
      <c r="J39" s="48">
        <f>ROUND(F39*G39,2)</f>
        <v>0</v>
      </c>
      <c r="K39" s="48">
        <v>4.2000000000000002E-4</v>
      </c>
      <c r="L39" s="48">
        <f>F39*K39</f>
        <v>1.7639999999999999E-2</v>
      </c>
      <c r="M39" s="20"/>
      <c r="N39" s="47" t="s">
        <v>47</v>
      </c>
      <c r="O39" s="48">
        <f>IF(N39="5",I39,0)</f>
        <v>0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48">
        <f>IF(AD39=0,J39,0)</f>
        <v>0</v>
      </c>
      <c r="AA39" s="48">
        <f>IF(AD39=10,J39,0)</f>
        <v>0</v>
      </c>
      <c r="AB39" s="48">
        <f>IF(AD39=20,J39,0)</f>
        <v>0</v>
      </c>
      <c r="AC39" s="20"/>
      <c r="AD39" s="48">
        <v>10</v>
      </c>
      <c r="AE39" s="48">
        <f>G39*0.436659877800407</f>
        <v>0</v>
      </c>
      <c r="AF39" s="48">
        <f>G39*(1-0.436659877800407)</f>
        <v>0</v>
      </c>
      <c r="AG39" s="20"/>
      <c r="AH39" s="20"/>
      <c r="AI39" s="20"/>
      <c r="AJ39" s="20"/>
      <c r="AK39" s="20"/>
      <c r="AL39" s="20"/>
    </row>
    <row r="40" spans="1:38" ht="13.7" customHeight="1" x14ac:dyDescent="0.2">
      <c r="A40" s="21" t="s">
        <v>118</v>
      </c>
      <c r="B40" s="21"/>
      <c r="C40" s="21" t="s">
        <v>119</v>
      </c>
      <c r="D40" s="21" t="s">
        <v>120</v>
      </c>
      <c r="E40" s="21" t="s">
        <v>71</v>
      </c>
      <c r="F40" s="48">
        <v>15</v>
      </c>
      <c r="G40" s="48">
        <v>0</v>
      </c>
      <c r="H40" s="48">
        <f>ROUND(F40*AE40,2)</f>
        <v>0</v>
      </c>
      <c r="I40" s="48">
        <f>J40-H40</f>
        <v>0</v>
      </c>
      <c r="J40" s="48">
        <f>ROUND(F40*G40,2)</f>
        <v>0</v>
      </c>
      <c r="K40" s="48">
        <v>2.0000000000000001E-4</v>
      </c>
      <c r="L40" s="48">
        <f>F40*K40</f>
        <v>3.0000000000000001E-3</v>
      </c>
      <c r="M40" s="20"/>
      <c r="N40" s="47" t="s">
        <v>47</v>
      </c>
      <c r="O40" s="48">
        <f>IF(N40="5",I40,0)</f>
        <v>0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48">
        <f>IF(AD40=0,J40,0)</f>
        <v>0</v>
      </c>
      <c r="AA40" s="48">
        <f>IF(AD40=10,J40,0)</f>
        <v>0</v>
      </c>
      <c r="AB40" s="48">
        <f>IF(AD40=20,J40,0)</f>
        <v>0</v>
      </c>
      <c r="AC40" s="20"/>
      <c r="AD40" s="48">
        <v>10</v>
      </c>
      <c r="AE40" s="48">
        <f>G40*0.413584905660377</f>
        <v>0</v>
      </c>
      <c r="AF40" s="48">
        <f>G40*(1-0.413584905660377)</f>
        <v>0</v>
      </c>
      <c r="AG40" s="20"/>
      <c r="AH40" s="20"/>
      <c r="AI40" s="20"/>
      <c r="AJ40" s="20"/>
      <c r="AK40" s="20"/>
      <c r="AL40" s="20"/>
    </row>
    <row r="41" spans="1:38" ht="13.7" customHeight="1" x14ac:dyDescent="0.2">
      <c r="A41" s="78" t="s">
        <v>121</v>
      </c>
      <c r="B41" s="78"/>
      <c r="C41" s="78" t="s">
        <v>122</v>
      </c>
      <c r="D41" s="78" t="s">
        <v>123</v>
      </c>
      <c r="E41" s="78" t="s">
        <v>124</v>
      </c>
      <c r="F41" s="79">
        <v>0.5</v>
      </c>
      <c r="G41" s="79">
        <v>0</v>
      </c>
      <c r="H41" s="79">
        <f>ROUND(F41*AE41,2)</f>
        <v>0</v>
      </c>
      <c r="I41" s="79">
        <f>J41-H41</f>
        <v>0</v>
      </c>
      <c r="J41" s="79">
        <f>ROUND(F41*G41,2)</f>
        <v>0</v>
      </c>
      <c r="K41" s="79">
        <v>0</v>
      </c>
      <c r="L41" s="79">
        <f>F41*K41</f>
        <v>0</v>
      </c>
      <c r="M41" s="20"/>
      <c r="N41" s="47" t="s">
        <v>125</v>
      </c>
      <c r="O41" s="48">
        <f>IF(N41="5",I41,0)</f>
        <v>0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48">
        <f>IF(AD41=0,J41,0)</f>
        <v>0</v>
      </c>
      <c r="AA41" s="48">
        <f>IF(AD41=10,J41,0)</f>
        <v>0</v>
      </c>
      <c r="AB41" s="48">
        <f>IF(AD41=20,J41,0)</f>
        <v>0</v>
      </c>
      <c r="AC41" s="20"/>
      <c r="AD41" s="48">
        <v>10</v>
      </c>
      <c r="AE41" s="48">
        <f>G41*0</f>
        <v>0</v>
      </c>
      <c r="AF41" s="48">
        <f>G41*(1-0)</f>
        <v>0</v>
      </c>
      <c r="AG41" s="20"/>
      <c r="AH41" s="20"/>
      <c r="AI41" s="27"/>
      <c r="AJ41" s="27"/>
      <c r="AK41" s="27"/>
      <c r="AL41" s="20"/>
    </row>
    <row r="42" spans="1:38" ht="13.7" customHeight="1" x14ac:dyDescent="0.2">
      <c r="A42" s="62"/>
      <c r="B42" s="63"/>
      <c r="C42" s="64" t="s">
        <v>126</v>
      </c>
      <c r="D42" s="95" t="s">
        <v>127</v>
      </c>
      <c r="E42" s="96"/>
      <c r="F42" s="96"/>
      <c r="G42" s="96"/>
      <c r="H42" s="43">
        <v>0</v>
      </c>
      <c r="I42" s="43">
        <v>0</v>
      </c>
      <c r="J42" s="43">
        <v>0</v>
      </c>
      <c r="K42" s="35"/>
      <c r="L42" s="43">
        <v>0</v>
      </c>
      <c r="M42" s="42"/>
      <c r="N42" s="20"/>
      <c r="O42" s="34"/>
      <c r="P42" s="65"/>
      <c r="Q42" s="35" t="s">
        <v>114</v>
      </c>
      <c r="R42" s="43">
        <f>IF(Q42="HS",H42,0)</f>
        <v>0</v>
      </c>
      <c r="S42" s="43">
        <f>IF(Q42="HS",I42-P42,0)</f>
        <v>0</v>
      </c>
      <c r="T42" s="43">
        <f>IF(Q42="PS",H42,0)</f>
        <v>0</v>
      </c>
      <c r="U42" s="43">
        <f>IF(Q42="PS",I42-P42,0)</f>
        <v>0</v>
      </c>
      <c r="V42" s="43">
        <f>IF(Q42="MP",H42,0)</f>
        <v>0</v>
      </c>
      <c r="W42" s="43">
        <f>IF(Q42="MP",I42-P42,0)</f>
        <v>0</v>
      </c>
      <c r="X42" s="43">
        <f>IF(Q42="OM",H42,0)</f>
        <v>0</v>
      </c>
      <c r="Y42" s="35"/>
      <c r="Z42" s="42"/>
      <c r="AA42" s="20"/>
      <c r="AB42" s="20"/>
      <c r="AC42" s="20"/>
      <c r="AD42" s="20"/>
      <c r="AE42" s="20"/>
      <c r="AF42" s="20"/>
      <c r="AG42" s="20"/>
      <c r="AH42" s="34"/>
      <c r="AI42" s="65"/>
      <c r="AJ42" s="65"/>
      <c r="AK42" s="66"/>
      <c r="AL42" s="20"/>
    </row>
    <row r="43" spans="1:38" ht="13.7" customHeight="1" x14ac:dyDescent="0.2">
      <c r="A43" s="62"/>
      <c r="B43" s="63"/>
      <c r="C43" s="64" t="s">
        <v>128</v>
      </c>
      <c r="D43" s="95" t="s">
        <v>129</v>
      </c>
      <c r="E43" s="96"/>
      <c r="F43" s="96"/>
      <c r="G43" s="96"/>
      <c r="H43" s="43">
        <f>SUM(H44:H48)</f>
        <v>0</v>
      </c>
      <c r="I43" s="43">
        <f>SUM(I44:I48)</f>
        <v>0</v>
      </c>
      <c r="J43" s="43">
        <f>H43+I43</f>
        <v>0</v>
      </c>
      <c r="K43" s="35"/>
      <c r="L43" s="43">
        <f>SUM(L44:L48)</f>
        <v>7.5380000000000003E-2</v>
      </c>
      <c r="M43" s="42"/>
      <c r="N43" s="20"/>
      <c r="O43" s="34"/>
      <c r="P43" s="43">
        <f>IF(Q43="PR",J43,SUM(O44:O48))</f>
        <v>0</v>
      </c>
      <c r="Q43" s="35" t="s">
        <v>114</v>
      </c>
      <c r="R43" s="43">
        <f>IF(Q43="HS",H43,0)</f>
        <v>0</v>
      </c>
      <c r="S43" s="43">
        <f>IF(Q43="HS",I43-P43,0)</f>
        <v>0</v>
      </c>
      <c r="T43" s="43">
        <f>IF(Q43="PS",H43,0)</f>
        <v>0</v>
      </c>
      <c r="U43" s="43">
        <f>IF(Q43="PS",I43-P43,0)</f>
        <v>0</v>
      </c>
      <c r="V43" s="43">
        <f>IF(Q43="MP",H43,0)</f>
        <v>0</v>
      </c>
      <c r="W43" s="43">
        <f>IF(Q43="MP",I43-P43,0)</f>
        <v>0</v>
      </c>
      <c r="X43" s="43">
        <f>IF(Q43="OM",H43,0)</f>
        <v>0</v>
      </c>
      <c r="Y43" s="35"/>
      <c r="Z43" s="42"/>
      <c r="AA43" s="20"/>
      <c r="AB43" s="20"/>
      <c r="AC43" s="20"/>
      <c r="AD43" s="20"/>
      <c r="AE43" s="20"/>
      <c r="AF43" s="20"/>
      <c r="AG43" s="20"/>
      <c r="AH43" s="34"/>
      <c r="AI43" s="43">
        <f>SUM(Z44:Z48)</f>
        <v>0</v>
      </c>
      <c r="AJ43" s="43">
        <f>SUM(AA44:AA48)</f>
        <v>0</v>
      </c>
      <c r="AK43" s="44">
        <f>SUM(AB44:AB48)</f>
        <v>0</v>
      </c>
      <c r="AL43" s="20"/>
    </row>
    <row r="44" spans="1:38" ht="13.7" customHeight="1" x14ac:dyDescent="0.2">
      <c r="A44" s="67" t="s">
        <v>130</v>
      </c>
      <c r="B44" s="67"/>
      <c r="C44" s="67" t="s">
        <v>131</v>
      </c>
      <c r="D44" s="45" t="s">
        <v>132</v>
      </c>
      <c r="E44" s="67" t="s">
        <v>133</v>
      </c>
      <c r="F44" s="68">
        <v>25</v>
      </c>
      <c r="G44" s="68">
        <v>0</v>
      </c>
      <c r="H44" s="68">
        <f>ROUND(F44*AE44,2)</f>
        <v>0</v>
      </c>
      <c r="I44" s="68">
        <f>J44-H44</f>
        <v>0</v>
      </c>
      <c r="J44" s="68">
        <f>ROUND(F44*G44,2)</f>
        <v>0</v>
      </c>
      <c r="K44" s="68">
        <v>2.5000000000000001E-3</v>
      </c>
      <c r="L44" s="68">
        <f>F44*K44</f>
        <v>6.25E-2</v>
      </c>
      <c r="M44" s="20"/>
      <c r="N44" s="47" t="s">
        <v>47</v>
      </c>
      <c r="O44" s="48">
        <f>IF(N44="5",I44,0)</f>
        <v>0</v>
      </c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48">
        <f>IF(AD44=0,J44,0)</f>
        <v>0</v>
      </c>
      <c r="AA44" s="48">
        <f>IF(AD44=10,J44,0)</f>
        <v>0</v>
      </c>
      <c r="AB44" s="48">
        <f>IF(AD44=20,J44,0)</f>
        <v>0</v>
      </c>
      <c r="AC44" s="20"/>
      <c r="AD44" s="48">
        <v>10</v>
      </c>
      <c r="AE44" s="48">
        <f>G44*0.376815769886432</f>
        <v>0</v>
      </c>
      <c r="AF44" s="48">
        <f>G44*(1-0.376815769886432)</f>
        <v>0</v>
      </c>
      <c r="AG44" s="20"/>
      <c r="AH44" s="20"/>
      <c r="AI44" s="69"/>
      <c r="AJ44" s="69"/>
      <c r="AK44" s="69"/>
      <c r="AL44" s="20"/>
    </row>
    <row r="45" spans="1:38" ht="13.7" customHeight="1" x14ac:dyDescent="0.2">
      <c r="A45" s="21" t="s">
        <v>134</v>
      </c>
      <c r="B45" s="21"/>
      <c r="C45" s="21" t="s">
        <v>135</v>
      </c>
      <c r="D45" s="45" t="s">
        <v>136</v>
      </c>
      <c r="E45" s="21" t="s">
        <v>133</v>
      </c>
      <c r="F45" s="48">
        <v>15</v>
      </c>
      <c r="G45" s="48">
        <v>0</v>
      </c>
      <c r="H45" s="48">
        <f>ROUND(F45*AE45,2)</f>
        <v>0</v>
      </c>
      <c r="I45" s="48">
        <f>J45-H45</f>
        <v>0</v>
      </c>
      <c r="J45" s="48">
        <f>ROUND(F45*G45,2)</f>
        <v>0</v>
      </c>
      <c r="K45" s="48">
        <v>5.1999999999999995E-4</v>
      </c>
      <c r="L45" s="48">
        <f>F45*K45</f>
        <v>7.7999999999999996E-3</v>
      </c>
      <c r="M45" s="20"/>
      <c r="N45" s="47" t="s">
        <v>47</v>
      </c>
      <c r="O45" s="48">
        <f>IF(N45="5",I45,0)</f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48">
        <f>IF(AD45=0,J45,0)</f>
        <v>0</v>
      </c>
      <c r="AA45" s="48">
        <f>IF(AD45=10,J45,0)</f>
        <v>0</v>
      </c>
      <c r="AB45" s="48">
        <f>IF(AD45=20,J45,0)</f>
        <v>0</v>
      </c>
      <c r="AC45" s="20"/>
      <c r="AD45" s="48">
        <v>10</v>
      </c>
      <c r="AE45" s="48">
        <f>G45*0.398031980319803</f>
        <v>0</v>
      </c>
      <c r="AF45" s="48">
        <f>G45*(1-0.398031980319803)</f>
        <v>0</v>
      </c>
      <c r="AG45" s="20"/>
      <c r="AH45" s="20"/>
      <c r="AI45" s="20"/>
      <c r="AJ45" s="20"/>
      <c r="AK45" s="20"/>
      <c r="AL45" s="20"/>
    </row>
    <row r="46" spans="1:38" ht="13.7" customHeight="1" x14ac:dyDescent="0.2">
      <c r="A46" s="21" t="s">
        <v>137</v>
      </c>
      <c r="B46" s="21"/>
      <c r="C46" s="21" t="s">
        <v>138</v>
      </c>
      <c r="D46" s="67" t="s">
        <v>139</v>
      </c>
      <c r="E46" s="21" t="s">
        <v>91</v>
      </c>
      <c r="F46" s="48">
        <v>1</v>
      </c>
      <c r="G46" s="48">
        <v>0</v>
      </c>
      <c r="H46" s="48">
        <f>ROUND(F46*AE46,2)</f>
        <v>0</v>
      </c>
      <c r="I46" s="48">
        <f>J46-H46</f>
        <v>0</v>
      </c>
      <c r="J46" s="48">
        <f>ROUND(F46*G46,2)</f>
        <v>0</v>
      </c>
      <c r="K46" s="48">
        <v>8.0000000000000007E-5</v>
      </c>
      <c r="L46" s="48">
        <f>F46*K46</f>
        <v>8.0000000000000007E-5</v>
      </c>
      <c r="M46" s="20"/>
      <c r="N46" s="47" t="s">
        <v>47</v>
      </c>
      <c r="O46" s="48">
        <f>IF(N46="5",I46,0)</f>
        <v>0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48">
        <f>IF(AD46=0,J46,0)</f>
        <v>0</v>
      </c>
      <c r="AA46" s="48">
        <f>IF(AD46=10,J46,0)</f>
        <v>0</v>
      </c>
      <c r="AB46" s="48">
        <f>IF(AD46=20,J46,0)</f>
        <v>0</v>
      </c>
      <c r="AC46" s="20"/>
      <c r="AD46" s="48">
        <v>10</v>
      </c>
      <c r="AE46" s="48">
        <f>G46*0.964703788657755</f>
        <v>0</v>
      </c>
      <c r="AF46" s="48">
        <f>G46*(1-0.964703788657755)</f>
        <v>0</v>
      </c>
      <c r="AG46" s="20"/>
      <c r="AH46" s="20"/>
      <c r="AI46" s="20"/>
      <c r="AJ46" s="20"/>
      <c r="AK46" s="20"/>
      <c r="AL46" s="20"/>
    </row>
    <row r="47" spans="1:38" ht="13.7" customHeight="1" x14ac:dyDescent="0.2">
      <c r="A47" s="21" t="s">
        <v>140</v>
      </c>
      <c r="B47" s="21"/>
      <c r="C47" s="21" t="s">
        <v>141</v>
      </c>
      <c r="D47" s="21" t="s">
        <v>142</v>
      </c>
      <c r="E47" s="21" t="s">
        <v>91</v>
      </c>
      <c r="F47" s="48">
        <v>10</v>
      </c>
      <c r="G47" s="48">
        <v>0</v>
      </c>
      <c r="H47" s="48">
        <f>ROUND(F47*AE47,2)</f>
        <v>0</v>
      </c>
      <c r="I47" s="48">
        <f>J47-H47</f>
        <v>0</v>
      </c>
      <c r="J47" s="48">
        <f>ROUND(F47*G47,2)</f>
        <v>0</v>
      </c>
      <c r="K47" s="48">
        <v>5.0000000000000001E-4</v>
      </c>
      <c r="L47" s="48">
        <f>F47*K47</f>
        <v>5.0000000000000001E-3</v>
      </c>
      <c r="M47" s="20"/>
      <c r="N47" s="47" t="s">
        <v>47</v>
      </c>
      <c r="O47" s="48">
        <f>IF(N47="5",I47,0)</f>
        <v>0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48">
        <f>IF(AD47=0,J47,0)</f>
        <v>0</v>
      </c>
      <c r="AA47" s="48">
        <f>IF(AD47=10,J47,0)</f>
        <v>0</v>
      </c>
      <c r="AB47" s="48">
        <f>IF(AD47=20,J47,0)</f>
        <v>0</v>
      </c>
      <c r="AC47" s="20"/>
      <c r="AD47" s="48">
        <v>10</v>
      </c>
      <c r="AE47" s="48">
        <f>G47*0.953556092986526</f>
        <v>0</v>
      </c>
      <c r="AF47" s="48">
        <f>G47*(1-0.953556092986526)</f>
        <v>0</v>
      </c>
      <c r="AG47" s="20"/>
      <c r="AH47" s="20"/>
      <c r="AI47" s="20"/>
      <c r="AJ47" s="20"/>
      <c r="AK47" s="20"/>
      <c r="AL47" s="20"/>
    </row>
    <row r="48" spans="1:38" ht="13.7" customHeight="1" x14ac:dyDescent="0.2">
      <c r="A48" s="21" t="s">
        <v>143</v>
      </c>
      <c r="B48" s="21"/>
      <c r="C48" s="21" t="s">
        <v>144</v>
      </c>
      <c r="D48" s="21" t="s">
        <v>145</v>
      </c>
      <c r="E48" s="21" t="s">
        <v>133</v>
      </c>
      <c r="F48" s="48">
        <v>40</v>
      </c>
      <c r="G48" s="48">
        <v>0</v>
      </c>
      <c r="H48" s="48">
        <f>ROUND(F48*AE48,2)</f>
        <v>0</v>
      </c>
      <c r="I48" s="48">
        <f>J48-H48</f>
        <v>0</v>
      </c>
      <c r="J48" s="48">
        <f>ROUND(F48*G48,2)</f>
        <v>0</v>
      </c>
      <c r="K48" s="48">
        <v>0</v>
      </c>
      <c r="L48" s="48">
        <f>F48*K48</f>
        <v>0</v>
      </c>
      <c r="M48" s="20"/>
      <c r="N48" s="47" t="s">
        <v>47</v>
      </c>
      <c r="O48" s="48">
        <f>IF(N48="5",I48,0)</f>
        <v>0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48">
        <f>IF(AD48=0,J48,0)</f>
        <v>0</v>
      </c>
      <c r="AA48" s="48">
        <f>IF(AD48=10,J48,0)</f>
        <v>0</v>
      </c>
      <c r="AB48" s="48">
        <f>IF(AD48=20,J48,0)</f>
        <v>0</v>
      </c>
      <c r="AC48" s="20"/>
      <c r="AD48" s="48">
        <v>10</v>
      </c>
      <c r="AE48" s="48">
        <f>G48*0.0298879202988792</f>
        <v>0</v>
      </c>
      <c r="AF48" s="48">
        <f>G48*(1-0.0298879202988792)</f>
        <v>0</v>
      </c>
      <c r="AG48" s="20"/>
      <c r="AH48" s="20"/>
      <c r="AI48" s="20"/>
      <c r="AJ48" s="20"/>
      <c r="AK48" s="20"/>
      <c r="AL48" s="20"/>
    </row>
    <row r="49" spans="1:38" ht="13.7" customHeight="1" x14ac:dyDescent="0.2">
      <c r="A49" s="70"/>
      <c r="B49" s="71"/>
      <c r="C49" s="72" t="s">
        <v>146</v>
      </c>
      <c r="D49" s="101" t="s">
        <v>147</v>
      </c>
      <c r="E49" s="102"/>
      <c r="F49" s="102"/>
      <c r="G49" s="102"/>
      <c r="H49" s="73">
        <f>SUM(H50:H60)</f>
        <v>0</v>
      </c>
      <c r="I49" s="73">
        <f>SUM(I50:I60)</f>
        <v>0</v>
      </c>
      <c r="J49" s="73">
        <f>H49+I49</f>
        <v>0</v>
      </c>
      <c r="K49" s="74"/>
      <c r="L49" s="73">
        <f>SUM(L50:L60)</f>
        <v>0.21130000000000002</v>
      </c>
      <c r="M49" s="42"/>
      <c r="N49" s="20"/>
      <c r="O49" s="34"/>
      <c r="P49" s="73">
        <f>IF(Q49="PR",J49,SUM(O50:O60))</f>
        <v>0</v>
      </c>
      <c r="Q49" s="74" t="s">
        <v>114</v>
      </c>
      <c r="R49" s="73">
        <f>IF(Q49="HS",H49,0)</f>
        <v>0</v>
      </c>
      <c r="S49" s="73">
        <f>IF(Q49="HS",I49-P49,0)</f>
        <v>0</v>
      </c>
      <c r="T49" s="73">
        <f>IF(Q49="PS",H49,0)</f>
        <v>0</v>
      </c>
      <c r="U49" s="73">
        <f>IF(Q49="PS",I49-P49,0)</f>
        <v>0</v>
      </c>
      <c r="V49" s="73">
        <f>IF(Q49="MP",H49,0)</f>
        <v>0</v>
      </c>
      <c r="W49" s="73">
        <f>IF(Q49="MP",I49-P49,0)</f>
        <v>0</v>
      </c>
      <c r="X49" s="73">
        <f>IF(Q49="OM",H49,0)</f>
        <v>0</v>
      </c>
      <c r="Y49" s="74"/>
      <c r="Z49" s="42"/>
      <c r="AA49" s="20"/>
      <c r="AB49" s="20"/>
      <c r="AC49" s="20"/>
      <c r="AD49" s="20"/>
      <c r="AE49" s="20"/>
      <c r="AF49" s="20"/>
      <c r="AG49" s="20"/>
      <c r="AH49" s="34"/>
      <c r="AI49" s="73">
        <f>SUM(Z50:Z60)</f>
        <v>0</v>
      </c>
      <c r="AJ49" s="73">
        <f>SUM(AA50:AA60)</f>
        <v>0</v>
      </c>
      <c r="AK49" s="75">
        <f>SUM(AB50:AB60)</f>
        <v>0</v>
      </c>
      <c r="AL49" s="20"/>
    </row>
    <row r="50" spans="1:38" ht="13.7" customHeight="1" x14ac:dyDescent="0.2">
      <c r="A50" s="21" t="s">
        <v>148</v>
      </c>
      <c r="B50" s="21"/>
      <c r="C50" s="21" t="s">
        <v>149</v>
      </c>
      <c r="D50" s="21" t="s">
        <v>150</v>
      </c>
      <c r="E50" s="21" t="s">
        <v>133</v>
      </c>
      <c r="F50" s="48">
        <v>25</v>
      </c>
      <c r="G50" s="48">
        <v>0</v>
      </c>
      <c r="H50" s="48">
        <f t="shared" ref="H50:H60" si="0">ROUND(F50*AE50,2)</f>
        <v>0</v>
      </c>
      <c r="I50" s="48">
        <f t="shared" ref="I50:I60" si="1">J50-H50</f>
        <v>0</v>
      </c>
      <c r="J50" s="48">
        <f t="shared" ref="J50:J60" si="2">ROUND(F50*G50,2)</f>
        <v>0</v>
      </c>
      <c r="K50" s="48">
        <v>4.0299999999999997E-3</v>
      </c>
      <c r="L50" s="48">
        <f t="shared" ref="L50:L60" si="3">F50*K50</f>
        <v>0.10074999999999999</v>
      </c>
      <c r="M50" s="20"/>
      <c r="N50" s="47" t="s">
        <v>47</v>
      </c>
      <c r="O50" s="48">
        <f t="shared" ref="O50:O60" si="4">IF(N50="5",I50,0)</f>
        <v>0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48">
        <f t="shared" ref="Z50:Z60" si="5">IF(AD50=0,J50,0)</f>
        <v>0</v>
      </c>
      <c r="AA50" s="48">
        <f t="shared" ref="AA50:AA60" si="6">IF(AD50=10,J50,0)</f>
        <v>0</v>
      </c>
      <c r="AB50" s="48">
        <f t="shared" ref="AB50:AB60" si="7">IF(AD50=20,J50,0)</f>
        <v>0</v>
      </c>
      <c r="AC50" s="20"/>
      <c r="AD50" s="48">
        <v>10</v>
      </c>
      <c r="AE50" s="48">
        <f>G50*0.272666700835426</f>
        <v>0</v>
      </c>
      <c r="AF50" s="48">
        <f>G50*(1-0.272666700835426)</f>
        <v>0</v>
      </c>
      <c r="AG50" s="20"/>
      <c r="AH50" s="20"/>
      <c r="AI50" s="20"/>
      <c r="AJ50" s="20"/>
      <c r="AK50" s="20"/>
      <c r="AL50" s="20"/>
    </row>
    <row r="51" spans="1:38" ht="13.7" customHeight="1" x14ac:dyDescent="0.2">
      <c r="A51" s="21" t="s">
        <v>151</v>
      </c>
      <c r="B51" s="21"/>
      <c r="C51" s="21" t="s">
        <v>152</v>
      </c>
      <c r="D51" s="21" t="s">
        <v>153</v>
      </c>
      <c r="E51" s="21" t="s">
        <v>133</v>
      </c>
      <c r="F51" s="48">
        <v>25</v>
      </c>
      <c r="G51" s="48">
        <v>0</v>
      </c>
      <c r="H51" s="48">
        <f t="shared" si="0"/>
        <v>0</v>
      </c>
      <c r="I51" s="48">
        <f t="shared" si="1"/>
        <v>0</v>
      </c>
      <c r="J51" s="48">
        <f t="shared" si="2"/>
        <v>0</v>
      </c>
      <c r="K51" s="48">
        <v>3.6900000000000001E-3</v>
      </c>
      <c r="L51" s="48">
        <f t="shared" si="3"/>
        <v>9.2249999999999999E-2</v>
      </c>
      <c r="M51" s="20"/>
      <c r="N51" s="47" t="s">
        <v>47</v>
      </c>
      <c r="O51" s="48">
        <f t="shared" si="4"/>
        <v>0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48">
        <f t="shared" si="5"/>
        <v>0</v>
      </c>
      <c r="AA51" s="48">
        <f t="shared" si="6"/>
        <v>0</v>
      </c>
      <c r="AB51" s="48">
        <f t="shared" si="7"/>
        <v>0</v>
      </c>
      <c r="AC51" s="20"/>
      <c r="AD51" s="48">
        <v>10</v>
      </c>
      <c r="AE51" s="48">
        <f>G51*0.257455268389662</f>
        <v>0</v>
      </c>
      <c r="AF51" s="48">
        <f>G51*(1-0.257455268389662)</f>
        <v>0</v>
      </c>
      <c r="AG51" s="20"/>
      <c r="AH51" s="20"/>
      <c r="AI51" s="20"/>
      <c r="AJ51" s="20"/>
      <c r="AK51" s="20"/>
      <c r="AL51" s="20"/>
    </row>
    <row r="52" spans="1:38" ht="13.7" customHeight="1" x14ac:dyDescent="0.2">
      <c r="A52" s="21" t="s">
        <v>154</v>
      </c>
      <c r="B52" s="21"/>
      <c r="C52" s="21" t="s">
        <v>155</v>
      </c>
      <c r="D52" s="21" t="s">
        <v>156</v>
      </c>
      <c r="E52" s="21" t="s">
        <v>133</v>
      </c>
      <c r="F52" s="48">
        <v>25</v>
      </c>
      <c r="G52" s="48">
        <v>0</v>
      </c>
      <c r="H52" s="48">
        <f t="shared" si="0"/>
        <v>0</v>
      </c>
      <c r="I52" s="48">
        <f t="shared" si="1"/>
        <v>0</v>
      </c>
      <c r="J52" s="48">
        <f t="shared" si="2"/>
        <v>0</v>
      </c>
      <c r="K52" s="48">
        <v>4.0000000000000003E-5</v>
      </c>
      <c r="L52" s="48">
        <f t="shared" si="3"/>
        <v>1E-3</v>
      </c>
      <c r="M52" s="20"/>
      <c r="N52" s="47" t="s">
        <v>157</v>
      </c>
      <c r="O52" s="48">
        <f t="shared" si="4"/>
        <v>0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48">
        <f t="shared" si="5"/>
        <v>0</v>
      </c>
      <c r="AA52" s="48">
        <f t="shared" si="6"/>
        <v>0</v>
      </c>
      <c r="AB52" s="48">
        <f t="shared" si="7"/>
        <v>0</v>
      </c>
      <c r="AC52" s="20"/>
      <c r="AD52" s="48">
        <v>10</v>
      </c>
      <c r="AE52" s="48">
        <f>G52*1</f>
        <v>0</v>
      </c>
      <c r="AF52" s="48">
        <f>G52*(1-1)</f>
        <v>0</v>
      </c>
      <c r="AG52" s="20"/>
      <c r="AH52" s="20"/>
      <c r="AI52" s="20"/>
      <c r="AJ52" s="20"/>
      <c r="AK52" s="20"/>
      <c r="AL52" s="20"/>
    </row>
    <row r="53" spans="1:38" ht="13.7" customHeight="1" x14ac:dyDescent="0.2">
      <c r="A53" s="21" t="s">
        <v>158</v>
      </c>
      <c r="B53" s="21"/>
      <c r="C53" s="21" t="s">
        <v>159</v>
      </c>
      <c r="D53" s="21" t="s">
        <v>160</v>
      </c>
      <c r="E53" s="21" t="s">
        <v>133</v>
      </c>
      <c r="F53" s="48">
        <v>25</v>
      </c>
      <c r="G53" s="48">
        <v>0</v>
      </c>
      <c r="H53" s="48">
        <f t="shared" si="0"/>
        <v>0</v>
      </c>
      <c r="I53" s="48">
        <f t="shared" si="1"/>
        <v>0</v>
      </c>
      <c r="J53" s="48">
        <f t="shared" si="2"/>
        <v>0</v>
      </c>
      <c r="K53" s="48">
        <v>6.0000000000000002E-5</v>
      </c>
      <c r="L53" s="48">
        <f t="shared" si="3"/>
        <v>1.5E-3</v>
      </c>
      <c r="M53" s="20"/>
      <c r="N53" s="47" t="s">
        <v>157</v>
      </c>
      <c r="O53" s="48">
        <f t="shared" si="4"/>
        <v>0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48">
        <f t="shared" si="5"/>
        <v>0</v>
      </c>
      <c r="AA53" s="48">
        <f t="shared" si="6"/>
        <v>0</v>
      </c>
      <c r="AB53" s="48">
        <f t="shared" si="7"/>
        <v>0</v>
      </c>
      <c r="AC53" s="20"/>
      <c r="AD53" s="48">
        <v>10</v>
      </c>
      <c r="AE53" s="48">
        <f>G53*1</f>
        <v>0</v>
      </c>
      <c r="AF53" s="48">
        <f>G53*(1-1)</f>
        <v>0</v>
      </c>
      <c r="AG53" s="20"/>
      <c r="AH53" s="20"/>
      <c r="AI53" s="20"/>
      <c r="AJ53" s="20"/>
      <c r="AK53" s="20"/>
      <c r="AL53" s="20"/>
    </row>
    <row r="54" spans="1:38" ht="13.7" customHeight="1" x14ac:dyDescent="0.2">
      <c r="A54" s="21" t="s">
        <v>161</v>
      </c>
      <c r="B54" s="21"/>
      <c r="C54" s="21" t="s">
        <v>162</v>
      </c>
      <c r="D54" s="21" t="s">
        <v>163</v>
      </c>
      <c r="E54" s="21" t="s">
        <v>91</v>
      </c>
      <c r="F54" s="48">
        <v>10</v>
      </c>
      <c r="G54" s="48">
        <v>0</v>
      </c>
      <c r="H54" s="48">
        <f t="shared" si="0"/>
        <v>0</v>
      </c>
      <c r="I54" s="48">
        <f t="shared" si="1"/>
        <v>0</v>
      </c>
      <c r="J54" s="48">
        <f t="shared" si="2"/>
        <v>0</v>
      </c>
      <c r="K54" s="48">
        <v>2.0000000000000002E-5</v>
      </c>
      <c r="L54" s="48">
        <f t="shared" si="3"/>
        <v>2.0000000000000001E-4</v>
      </c>
      <c r="M54" s="20"/>
      <c r="N54" s="47" t="s">
        <v>47</v>
      </c>
      <c r="O54" s="48">
        <f t="shared" si="4"/>
        <v>0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48">
        <f t="shared" si="5"/>
        <v>0</v>
      </c>
      <c r="AA54" s="48">
        <f t="shared" si="6"/>
        <v>0</v>
      </c>
      <c r="AB54" s="48">
        <f t="shared" si="7"/>
        <v>0</v>
      </c>
      <c r="AC54" s="20"/>
      <c r="AD54" s="48">
        <v>10</v>
      </c>
      <c r="AE54" s="48">
        <f>G54*0.034086006040558</f>
        <v>0</v>
      </c>
      <c r="AF54" s="48">
        <f>G54*(1-0.034086006040558)</f>
        <v>0</v>
      </c>
      <c r="AG54" s="20"/>
      <c r="AH54" s="20"/>
      <c r="AI54" s="20"/>
      <c r="AJ54" s="20"/>
      <c r="AK54" s="20"/>
      <c r="AL54" s="20"/>
    </row>
    <row r="55" spans="1:38" ht="13.7" customHeight="1" x14ac:dyDescent="0.2">
      <c r="A55" s="21" t="s">
        <v>164</v>
      </c>
      <c r="B55" s="21"/>
      <c r="C55" s="21" t="s">
        <v>165</v>
      </c>
      <c r="D55" s="21" t="s">
        <v>166</v>
      </c>
      <c r="E55" s="21" t="s">
        <v>91</v>
      </c>
      <c r="F55" s="48">
        <v>1</v>
      </c>
      <c r="G55" s="48">
        <v>0</v>
      </c>
      <c r="H55" s="48">
        <f t="shared" si="0"/>
        <v>0</v>
      </c>
      <c r="I55" s="48">
        <f t="shared" si="1"/>
        <v>0</v>
      </c>
      <c r="J55" s="48">
        <f t="shared" si="2"/>
        <v>0</v>
      </c>
      <c r="K55" s="48">
        <v>4.4999999999999997E-3</v>
      </c>
      <c r="L55" s="48">
        <f t="shared" si="3"/>
        <v>4.4999999999999997E-3</v>
      </c>
      <c r="M55" s="20"/>
      <c r="N55" s="47" t="s">
        <v>157</v>
      </c>
      <c r="O55" s="48">
        <f t="shared" si="4"/>
        <v>0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48">
        <f t="shared" si="5"/>
        <v>0</v>
      </c>
      <c r="AA55" s="48">
        <f t="shared" si="6"/>
        <v>0</v>
      </c>
      <c r="AB55" s="48">
        <f t="shared" si="7"/>
        <v>0</v>
      </c>
      <c r="AC55" s="20"/>
      <c r="AD55" s="48">
        <v>10</v>
      </c>
      <c r="AE55" s="48">
        <f>G55*1</f>
        <v>0</v>
      </c>
      <c r="AF55" s="48">
        <f>G55*(1-1)</f>
        <v>0</v>
      </c>
      <c r="AG55" s="20"/>
      <c r="AH55" s="20"/>
      <c r="AI55" s="20"/>
      <c r="AJ55" s="20"/>
      <c r="AK55" s="20"/>
      <c r="AL55" s="20"/>
    </row>
    <row r="56" spans="1:38" ht="13.7" customHeight="1" x14ac:dyDescent="0.2">
      <c r="A56" s="21" t="s">
        <v>167</v>
      </c>
      <c r="B56" s="21"/>
      <c r="C56" s="21" t="s">
        <v>168</v>
      </c>
      <c r="D56" s="21" t="s">
        <v>169</v>
      </c>
      <c r="E56" s="21" t="s">
        <v>91</v>
      </c>
      <c r="F56" s="48">
        <v>10</v>
      </c>
      <c r="G56" s="48">
        <v>0</v>
      </c>
      <c r="H56" s="48">
        <f t="shared" si="0"/>
        <v>0</v>
      </c>
      <c r="I56" s="48">
        <f t="shared" si="1"/>
        <v>0</v>
      </c>
      <c r="J56" s="48">
        <f t="shared" si="2"/>
        <v>0</v>
      </c>
      <c r="K56" s="48">
        <v>5.0000000000000002E-5</v>
      </c>
      <c r="L56" s="48">
        <f t="shared" si="3"/>
        <v>5.0000000000000001E-4</v>
      </c>
      <c r="M56" s="20"/>
      <c r="N56" s="47" t="s">
        <v>157</v>
      </c>
      <c r="O56" s="48">
        <f t="shared" si="4"/>
        <v>0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48">
        <f t="shared" si="5"/>
        <v>0</v>
      </c>
      <c r="AA56" s="48">
        <f t="shared" si="6"/>
        <v>0</v>
      </c>
      <c r="AB56" s="48">
        <f t="shared" si="7"/>
        <v>0</v>
      </c>
      <c r="AC56" s="20"/>
      <c r="AD56" s="48">
        <v>10</v>
      </c>
      <c r="AE56" s="48">
        <f>G56*1</f>
        <v>0</v>
      </c>
      <c r="AF56" s="48">
        <f>G56*(1-1)</f>
        <v>0</v>
      </c>
      <c r="AG56" s="20"/>
      <c r="AH56" s="20"/>
      <c r="AI56" s="20"/>
      <c r="AJ56" s="20"/>
      <c r="AK56" s="20"/>
      <c r="AL56" s="20"/>
    </row>
    <row r="57" spans="1:38" ht="13.7" customHeight="1" x14ac:dyDescent="0.2">
      <c r="A57" s="21" t="s">
        <v>170</v>
      </c>
      <c r="B57" s="21"/>
      <c r="C57" s="21" t="s">
        <v>171</v>
      </c>
      <c r="D57" s="21" t="s">
        <v>172</v>
      </c>
      <c r="E57" s="21" t="s">
        <v>91</v>
      </c>
      <c r="F57" s="48">
        <v>15</v>
      </c>
      <c r="G57" s="48">
        <v>0</v>
      </c>
      <c r="H57" s="48">
        <f t="shared" si="0"/>
        <v>0</v>
      </c>
      <c r="I57" s="48">
        <f t="shared" si="1"/>
        <v>0</v>
      </c>
      <c r="J57" s="48">
        <f t="shared" si="2"/>
        <v>0</v>
      </c>
      <c r="K57" s="48">
        <v>0</v>
      </c>
      <c r="L57" s="48">
        <f t="shared" si="3"/>
        <v>0</v>
      </c>
      <c r="M57" s="20"/>
      <c r="N57" s="47" t="s">
        <v>47</v>
      </c>
      <c r="O57" s="48">
        <f t="shared" si="4"/>
        <v>0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48">
        <f t="shared" si="5"/>
        <v>0</v>
      </c>
      <c r="AA57" s="48">
        <f t="shared" si="6"/>
        <v>0</v>
      </c>
      <c r="AB57" s="48">
        <f t="shared" si="7"/>
        <v>0</v>
      </c>
      <c r="AC57" s="20"/>
      <c r="AD57" s="48">
        <v>10</v>
      </c>
      <c r="AE57" s="48">
        <f>G57*0</f>
        <v>0</v>
      </c>
      <c r="AF57" s="48">
        <f>G57*(1-0)</f>
        <v>0</v>
      </c>
      <c r="AG57" s="20"/>
      <c r="AH57" s="20"/>
      <c r="AI57" s="20"/>
      <c r="AJ57" s="20"/>
      <c r="AK57" s="20"/>
      <c r="AL57" s="20"/>
    </row>
    <row r="58" spans="1:38" ht="13.7" customHeight="1" x14ac:dyDescent="0.2">
      <c r="A58" s="21" t="s">
        <v>173</v>
      </c>
      <c r="B58" s="21"/>
      <c r="C58" s="21" t="s">
        <v>174</v>
      </c>
      <c r="D58" s="21" t="s">
        <v>175</v>
      </c>
      <c r="E58" s="21" t="s">
        <v>91</v>
      </c>
      <c r="F58" s="48">
        <v>2</v>
      </c>
      <c r="G58" s="48">
        <v>0</v>
      </c>
      <c r="H58" s="48">
        <f t="shared" si="0"/>
        <v>0</v>
      </c>
      <c r="I58" s="48">
        <f t="shared" si="1"/>
        <v>0</v>
      </c>
      <c r="J58" s="48">
        <f t="shared" si="2"/>
        <v>0</v>
      </c>
      <c r="K58" s="48">
        <v>0</v>
      </c>
      <c r="L58" s="48">
        <f t="shared" si="3"/>
        <v>0</v>
      </c>
      <c r="M58" s="20"/>
      <c r="N58" s="47" t="s">
        <v>47</v>
      </c>
      <c r="O58" s="48">
        <f t="shared" si="4"/>
        <v>0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48">
        <f t="shared" si="5"/>
        <v>0</v>
      </c>
      <c r="AA58" s="48">
        <f t="shared" si="6"/>
        <v>0</v>
      </c>
      <c r="AB58" s="48">
        <f t="shared" si="7"/>
        <v>0</v>
      </c>
      <c r="AC58" s="20"/>
      <c r="AD58" s="48">
        <v>10</v>
      </c>
      <c r="AE58" s="48">
        <f>G58*0</f>
        <v>0</v>
      </c>
      <c r="AF58" s="48">
        <f>G58*(1-0)</f>
        <v>0</v>
      </c>
      <c r="AG58" s="20"/>
      <c r="AH58" s="20"/>
      <c r="AI58" s="20"/>
      <c r="AJ58" s="20"/>
      <c r="AK58" s="20"/>
      <c r="AL58" s="20"/>
    </row>
    <row r="59" spans="1:38" ht="13.7" customHeight="1" x14ac:dyDescent="0.2">
      <c r="A59" s="21" t="s">
        <v>176</v>
      </c>
      <c r="B59" s="21"/>
      <c r="C59" s="21" t="s">
        <v>177</v>
      </c>
      <c r="D59" s="21" t="s">
        <v>178</v>
      </c>
      <c r="E59" s="21" t="s">
        <v>91</v>
      </c>
      <c r="F59" s="48">
        <v>10</v>
      </c>
      <c r="G59" s="48">
        <v>0</v>
      </c>
      <c r="H59" s="48">
        <f t="shared" si="0"/>
        <v>0</v>
      </c>
      <c r="I59" s="48">
        <f t="shared" si="1"/>
        <v>0</v>
      </c>
      <c r="J59" s="48">
        <f t="shared" si="2"/>
        <v>0</v>
      </c>
      <c r="K59" s="48">
        <v>1.6000000000000001E-4</v>
      </c>
      <c r="L59" s="48">
        <f t="shared" si="3"/>
        <v>1.6000000000000001E-3</v>
      </c>
      <c r="M59" s="20"/>
      <c r="N59" s="47" t="s">
        <v>157</v>
      </c>
      <c r="O59" s="48">
        <f t="shared" si="4"/>
        <v>0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48">
        <f t="shared" si="5"/>
        <v>0</v>
      </c>
      <c r="AA59" s="48">
        <f t="shared" si="6"/>
        <v>0</v>
      </c>
      <c r="AB59" s="48">
        <f t="shared" si="7"/>
        <v>0</v>
      </c>
      <c r="AC59" s="20"/>
      <c r="AD59" s="48">
        <v>10</v>
      </c>
      <c r="AE59" s="48">
        <f>G59*1</f>
        <v>0</v>
      </c>
      <c r="AF59" s="48">
        <f>G59*(1-1)</f>
        <v>0</v>
      </c>
      <c r="AG59" s="20"/>
      <c r="AH59" s="20"/>
      <c r="AI59" s="20"/>
      <c r="AJ59" s="20"/>
      <c r="AK59" s="20"/>
      <c r="AL59" s="20"/>
    </row>
    <row r="60" spans="1:38" ht="13.7" customHeight="1" x14ac:dyDescent="0.2">
      <c r="A60" s="21" t="s">
        <v>179</v>
      </c>
      <c r="B60" s="21"/>
      <c r="C60" s="21" t="s">
        <v>180</v>
      </c>
      <c r="D60" s="21" t="s">
        <v>181</v>
      </c>
      <c r="E60" s="21" t="s">
        <v>133</v>
      </c>
      <c r="F60" s="48">
        <v>50</v>
      </c>
      <c r="G60" s="48">
        <v>0</v>
      </c>
      <c r="H60" s="48">
        <f t="shared" si="0"/>
        <v>0</v>
      </c>
      <c r="I60" s="48">
        <f t="shared" si="1"/>
        <v>0</v>
      </c>
      <c r="J60" s="48">
        <f t="shared" si="2"/>
        <v>0</v>
      </c>
      <c r="K60" s="48">
        <v>1.8000000000000001E-4</v>
      </c>
      <c r="L60" s="48">
        <f t="shared" si="3"/>
        <v>9.0000000000000011E-3</v>
      </c>
      <c r="M60" s="20"/>
      <c r="N60" s="47" t="s">
        <v>47</v>
      </c>
      <c r="O60" s="48">
        <f t="shared" si="4"/>
        <v>0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48">
        <f t="shared" si="5"/>
        <v>0</v>
      </c>
      <c r="AA60" s="48">
        <f t="shared" si="6"/>
        <v>0</v>
      </c>
      <c r="AB60" s="48">
        <f t="shared" si="7"/>
        <v>0</v>
      </c>
      <c r="AC60" s="20"/>
      <c r="AD60" s="48">
        <v>10</v>
      </c>
      <c r="AE60" s="48">
        <f>G60*0.269686204854944</f>
        <v>0</v>
      </c>
      <c r="AF60" s="48">
        <f>G60*(1-0.269686204854944)</f>
        <v>0</v>
      </c>
      <c r="AG60" s="20"/>
      <c r="AH60" s="20"/>
      <c r="AI60" s="20"/>
      <c r="AJ60" s="20"/>
      <c r="AK60" s="20"/>
      <c r="AL60" s="20"/>
    </row>
    <row r="61" spans="1:38" ht="13.7" customHeight="1" x14ac:dyDescent="0.2">
      <c r="A61" s="70"/>
      <c r="B61" s="71"/>
      <c r="C61" s="72" t="s">
        <v>182</v>
      </c>
      <c r="D61" s="101" t="s">
        <v>183</v>
      </c>
      <c r="E61" s="102"/>
      <c r="F61" s="102"/>
      <c r="G61" s="102"/>
      <c r="H61" s="73">
        <f>SUM(H62:H67)</f>
        <v>0</v>
      </c>
      <c r="I61" s="73">
        <f>SUM(I62:I67)</f>
        <v>0</v>
      </c>
      <c r="J61" s="73">
        <f>H61+I61</f>
        <v>0</v>
      </c>
      <c r="K61" s="74"/>
      <c r="L61" s="73">
        <f>SUM(L62:L67)</f>
        <v>6.831000000000001E-2</v>
      </c>
      <c r="M61" s="42"/>
      <c r="N61" s="20"/>
      <c r="O61" s="34"/>
      <c r="P61" s="73">
        <f>IF(Q61="PR",J61,SUM(O62:O67))</f>
        <v>0</v>
      </c>
      <c r="Q61" s="74" t="s">
        <v>114</v>
      </c>
      <c r="R61" s="73">
        <f>IF(Q61="HS",H61,0)</f>
        <v>0</v>
      </c>
      <c r="S61" s="73">
        <f>IF(Q61="HS",I61-P61,0)</f>
        <v>0</v>
      </c>
      <c r="T61" s="73">
        <f>IF(Q61="PS",H61,0)</f>
        <v>0</v>
      </c>
      <c r="U61" s="73">
        <f>IF(Q61="PS",I61-P61,0)</f>
        <v>0</v>
      </c>
      <c r="V61" s="73">
        <f>IF(Q61="MP",H61,0)</f>
        <v>0</v>
      </c>
      <c r="W61" s="73">
        <f>IF(Q61="MP",I61-P61,0)</f>
        <v>0</v>
      </c>
      <c r="X61" s="73">
        <f>IF(Q61="OM",H61,0)</f>
        <v>0</v>
      </c>
      <c r="Y61" s="74"/>
      <c r="Z61" s="42"/>
      <c r="AA61" s="20"/>
      <c r="AB61" s="20"/>
      <c r="AC61" s="20"/>
      <c r="AD61" s="20"/>
      <c r="AE61" s="20"/>
      <c r="AF61" s="20"/>
      <c r="AG61" s="20"/>
      <c r="AH61" s="34"/>
      <c r="AI61" s="73">
        <f>SUM(Z62:Z67)</f>
        <v>0</v>
      </c>
      <c r="AJ61" s="73">
        <f>SUM(AA62:AA67)</f>
        <v>0</v>
      </c>
      <c r="AK61" s="75">
        <f>SUM(AB62:AB67)</f>
        <v>0</v>
      </c>
      <c r="AL61" s="20"/>
    </row>
    <row r="62" spans="1:38" ht="13.7" customHeight="1" x14ac:dyDescent="0.2">
      <c r="A62" s="21" t="s">
        <v>184</v>
      </c>
      <c r="B62" s="21"/>
      <c r="C62" s="21" t="s">
        <v>185</v>
      </c>
      <c r="D62" s="21" t="s">
        <v>186</v>
      </c>
      <c r="E62" s="21" t="s">
        <v>133</v>
      </c>
      <c r="F62" s="48">
        <v>10</v>
      </c>
      <c r="G62" s="48">
        <v>0</v>
      </c>
      <c r="H62" s="48">
        <f t="shared" ref="H62:H67" si="8">ROUND(F62*AE62,2)</f>
        <v>0</v>
      </c>
      <c r="I62" s="48">
        <f t="shared" ref="I62:I67" si="9">J62-H62</f>
        <v>0</v>
      </c>
      <c r="J62" s="48">
        <f t="shared" ref="J62:J67" si="10">ROUND(F62*G62,2)</f>
        <v>0</v>
      </c>
      <c r="K62" s="48">
        <v>5.9199999999999999E-3</v>
      </c>
      <c r="L62" s="48">
        <f t="shared" ref="L62:L67" si="11">F62*K62</f>
        <v>5.9200000000000003E-2</v>
      </c>
      <c r="M62" s="20"/>
      <c r="N62" s="47" t="s">
        <v>47</v>
      </c>
      <c r="O62" s="48">
        <f t="shared" ref="O62:O67" si="12">IF(N62="5",I62,0)</f>
        <v>0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48">
        <f t="shared" ref="Z62:Z67" si="13">IF(AD62=0,J62,0)</f>
        <v>0</v>
      </c>
      <c r="AA62" s="48">
        <f t="shared" ref="AA62:AA67" si="14">IF(AD62=10,J62,0)</f>
        <v>0</v>
      </c>
      <c r="AB62" s="48">
        <f t="shared" ref="AB62:AB67" si="15">IF(AD62=20,J62,0)</f>
        <v>0</v>
      </c>
      <c r="AC62" s="20"/>
      <c r="AD62" s="48">
        <v>10</v>
      </c>
      <c r="AE62" s="48">
        <f>G62*0.215631757800433</f>
        <v>0</v>
      </c>
      <c r="AF62" s="48">
        <f>G62*(1-0.215631757800433)</f>
        <v>0</v>
      </c>
      <c r="AG62" s="20"/>
      <c r="AH62" s="20"/>
      <c r="AI62" s="20"/>
      <c r="AJ62" s="20"/>
      <c r="AK62" s="20"/>
      <c r="AL62" s="20"/>
    </row>
    <row r="63" spans="1:38" ht="13.7" customHeight="1" x14ac:dyDescent="0.2">
      <c r="A63" s="21" t="s">
        <v>187</v>
      </c>
      <c r="B63" s="21"/>
      <c r="C63" s="21" t="s">
        <v>188</v>
      </c>
      <c r="D63" s="21" t="s">
        <v>189</v>
      </c>
      <c r="E63" s="21" t="s">
        <v>91</v>
      </c>
      <c r="F63" s="48">
        <v>1</v>
      </c>
      <c r="G63" s="48">
        <v>0</v>
      </c>
      <c r="H63" s="48">
        <f t="shared" si="8"/>
        <v>0</v>
      </c>
      <c r="I63" s="48">
        <f t="shared" si="9"/>
        <v>0</v>
      </c>
      <c r="J63" s="48">
        <f t="shared" si="10"/>
        <v>0</v>
      </c>
      <c r="K63" s="48">
        <v>3.6000000000000002E-4</v>
      </c>
      <c r="L63" s="48">
        <f t="shared" si="11"/>
        <v>3.6000000000000002E-4</v>
      </c>
      <c r="M63" s="20"/>
      <c r="N63" s="47" t="s">
        <v>157</v>
      </c>
      <c r="O63" s="48">
        <f t="shared" si="12"/>
        <v>0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48">
        <f t="shared" si="13"/>
        <v>0</v>
      </c>
      <c r="AA63" s="48">
        <f t="shared" si="14"/>
        <v>0</v>
      </c>
      <c r="AB63" s="48">
        <f t="shared" si="15"/>
        <v>0</v>
      </c>
      <c r="AC63" s="20"/>
      <c r="AD63" s="48">
        <v>10</v>
      </c>
      <c r="AE63" s="48">
        <f>G63*1</f>
        <v>0</v>
      </c>
      <c r="AF63" s="48">
        <f>G63*(1-1)</f>
        <v>0</v>
      </c>
      <c r="AG63" s="20"/>
      <c r="AH63" s="20"/>
      <c r="AI63" s="20"/>
      <c r="AJ63" s="20"/>
      <c r="AK63" s="20"/>
      <c r="AL63" s="20"/>
    </row>
    <row r="64" spans="1:38" ht="13.7" customHeight="1" x14ac:dyDescent="0.2">
      <c r="A64" s="21" t="s">
        <v>190</v>
      </c>
      <c r="B64" s="21"/>
      <c r="C64" s="21" t="s">
        <v>191</v>
      </c>
      <c r="D64" s="21" t="s">
        <v>192</v>
      </c>
      <c r="E64" s="21" t="s">
        <v>91</v>
      </c>
      <c r="F64" s="48">
        <v>1</v>
      </c>
      <c r="G64" s="48">
        <v>0</v>
      </c>
      <c r="H64" s="48">
        <f t="shared" si="8"/>
        <v>0</v>
      </c>
      <c r="I64" s="48">
        <f t="shared" si="9"/>
        <v>0</v>
      </c>
      <c r="J64" s="48">
        <f t="shared" si="10"/>
        <v>0</v>
      </c>
      <c r="K64" s="48">
        <v>2.5000000000000001E-4</v>
      </c>
      <c r="L64" s="48">
        <f t="shared" si="11"/>
        <v>2.5000000000000001E-4</v>
      </c>
      <c r="M64" s="20"/>
      <c r="N64" s="47" t="s">
        <v>157</v>
      </c>
      <c r="O64" s="48">
        <f t="shared" si="12"/>
        <v>0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48">
        <f t="shared" si="13"/>
        <v>0</v>
      </c>
      <c r="AA64" s="48">
        <f t="shared" si="14"/>
        <v>0</v>
      </c>
      <c r="AB64" s="48">
        <f t="shared" si="15"/>
        <v>0</v>
      </c>
      <c r="AC64" s="20"/>
      <c r="AD64" s="48">
        <v>10</v>
      </c>
      <c r="AE64" s="48">
        <f>G64*1</f>
        <v>0</v>
      </c>
      <c r="AF64" s="48">
        <f>G64*(1-1)</f>
        <v>0</v>
      </c>
      <c r="AG64" s="20"/>
      <c r="AH64" s="20"/>
      <c r="AI64" s="20"/>
      <c r="AJ64" s="20"/>
      <c r="AK64" s="20"/>
      <c r="AL64" s="20"/>
    </row>
    <row r="65" spans="1:38" ht="13.7" customHeight="1" x14ac:dyDescent="0.2">
      <c r="A65" s="21" t="s">
        <v>193</v>
      </c>
      <c r="B65" s="21"/>
      <c r="C65" s="21"/>
      <c r="D65" s="21" t="s">
        <v>194</v>
      </c>
      <c r="E65" s="21" t="s">
        <v>91</v>
      </c>
      <c r="F65" s="48">
        <v>1</v>
      </c>
      <c r="G65" s="48">
        <v>0</v>
      </c>
      <c r="H65" s="48">
        <f t="shared" si="8"/>
        <v>0</v>
      </c>
      <c r="I65" s="48">
        <f t="shared" si="9"/>
        <v>0</v>
      </c>
      <c r="J65" s="48">
        <f t="shared" si="10"/>
        <v>0</v>
      </c>
      <c r="K65" s="48">
        <v>8.5000000000000006E-3</v>
      </c>
      <c r="L65" s="48">
        <f t="shared" si="11"/>
        <v>8.5000000000000006E-3</v>
      </c>
      <c r="M65" s="20"/>
      <c r="N65" s="47" t="s">
        <v>157</v>
      </c>
      <c r="O65" s="48">
        <f t="shared" si="12"/>
        <v>0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48">
        <f t="shared" si="13"/>
        <v>0</v>
      </c>
      <c r="AA65" s="48">
        <f t="shared" si="14"/>
        <v>0</v>
      </c>
      <c r="AB65" s="48">
        <f t="shared" si="15"/>
        <v>0</v>
      </c>
      <c r="AC65" s="20"/>
      <c r="AD65" s="48">
        <v>10</v>
      </c>
      <c r="AE65" s="48">
        <f>G65*1</f>
        <v>0</v>
      </c>
      <c r="AF65" s="48">
        <f>G65*(1-1)</f>
        <v>0</v>
      </c>
      <c r="AG65" s="20"/>
      <c r="AH65" s="20"/>
      <c r="AI65" s="20"/>
      <c r="AJ65" s="20"/>
      <c r="AK65" s="20"/>
      <c r="AL65" s="20"/>
    </row>
    <row r="66" spans="1:38" ht="13.7" customHeight="1" x14ac:dyDescent="0.2">
      <c r="A66" s="21" t="s">
        <v>195</v>
      </c>
      <c r="B66" s="21"/>
      <c r="C66" s="21" t="s">
        <v>196</v>
      </c>
      <c r="D66" s="21" t="s">
        <v>197</v>
      </c>
      <c r="E66" s="21" t="s">
        <v>198</v>
      </c>
      <c r="F66" s="48">
        <v>1</v>
      </c>
      <c r="G66" s="48">
        <v>0</v>
      </c>
      <c r="H66" s="48">
        <f t="shared" si="8"/>
        <v>0</v>
      </c>
      <c r="I66" s="48">
        <f t="shared" si="9"/>
        <v>0</v>
      </c>
      <c r="J66" s="48">
        <f t="shared" si="10"/>
        <v>0</v>
      </c>
      <c r="K66" s="48">
        <v>0</v>
      </c>
      <c r="L66" s="48">
        <f t="shared" si="11"/>
        <v>0</v>
      </c>
      <c r="M66" s="20"/>
      <c r="N66" s="47" t="s">
        <v>47</v>
      </c>
      <c r="O66" s="48">
        <f t="shared" si="12"/>
        <v>0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48">
        <f t="shared" si="13"/>
        <v>0</v>
      </c>
      <c r="AA66" s="48">
        <f t="shared" si="14"/>
        <v>0</v>
      </c>
      <c r="AB66" s="48">
        <f t="shared" si="15"/>
        <v>0</v>
      </c>
      <c r="AC66" s="20"/>
      <c r="AD66" s="48">
        <v>10</v>
      </c>
      <c r="AE66" s="48">
        <f>G66*0.950956351152526</f>
        <v>0</v>
      </c>
      <c r="AF66" s="48">
        <f>G66*(1-0.950956351152526)</f>
        <v>0</v>
      </c>
      <c r="AG66" s="20"/>
      <c r="AH66" s="20"/>
      <c r="AI66" s="20"/>
      <c r="AJ66" s="20"/>
      <c r="AK66" s="20"/>
      <c r="AL66" s="20"/>
    </row>
    <row r="67" spans="1:38" ht="13.7" customHeight="1" x14ac:dyDescent="0.2">
      <c r="A67" s="78" t="s">
        <v>199</v>
      </c>
      <c r="B67" s="78"/>
      <c r="C67" s="78" t="s">
        <v>200</v>
      </c>
      <c r="D67" s="78" t="s">
        <v>201</v>
      </c>
      <c r="E67" s="78" t="s">
        <v>124</v>
      </c>
      <c r="F67" s="79">
        <v>1</v>
      </c>
      <c r="G67" s="79">
        <v>0</v>
      </c>
      <c r="H67" s="79">
        <f t="shared" si="8"/>
        <v>0</v>
      </c>
      <c r="I67" s="79">
        <f t="shared" si="9"/>
        <v>0</v>
      </c>
      <c r="J67" s="79">
        <f t="shared" si="10"/>
        <v>0</v>
      </c>
      <c r="K67" s="79">
        <v>0</v>
      </c>
      <c r="L67" s="79">
        <f t="shared" si="11"/>
        <v>0</v>
      </c>
      <c r="M67" s="20"/>
      <c r="N67" s="47" t="s">
        <v>125</v>
      </c>
      <c r="O67" s="48">
        <f t="shared" si="12"/>
        <v>0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48">
        <f t="shared" si="13"/>
        <v>0</v>
      </c>
      <c r="AA67" s="48">
        <f t="shared" si="14"/>
        <v>0</v>
      </c>
      <c r="AB67" s="48">
        <f t="shared" si="15"/>
        <v>0</v>
      </c>
      <c r="AC67" s="20"/>
      <c r="AD67" s="48">
        <v>10</v>
      </c>
      <c r="AE67" s="48">
        <f>G67*0</f>
        <v>0</v>
      </c>
      <c r="AF67" s="48">
        <f>G67*(1-0)</f>
        <v>0</v>
      </c>
      <c r="AG67" s="20"/>
      <c r="AH67" s="20"/>
      <c r="AI67" s="27"/>
      <c r="AJ67" s="27"/>
      <c r="AK67" s="27"/>
      <c r="AL67" s="20"/>
    </row>
    <row r="68" spans="1:38" ht="13.7" customHeight="1" x14ac:dyDescent="0.2">
      <c r="A68" s="62"/>
      <c r="B68" s="63"/>
      <c r="C68" s="64" t="s">
        <v>202</v>
      </c>
      <c r="D68" s="95" t="s">
        <v>203</v>
      </c>
      <c r="E68" s="96"/>
      <c r="F68" s="96"/>
      <c r="G68" s="96"/>
      <c r="H68" s="43">
        <f>SUM(H69:H73)</f>
        <v>0</v>
      </c>
      <c r="I68" s="43">
        <f>SUM(I69:I73)</f>
        <v>0</v>
      </c>
      <c r="J68" s="43">
        <f>H68+I68</f>
        <v>0</v>
      </c>
      <c r="K68" s="35"/>
      <c r="L68" s="43">
        <f>SUM(L69:L73)</f>
        <v>6.0089999999999998E-2</v>
      </c>
      <c r="M68" s="42"/>
      <c r="N68" s="20"/>
      <c r="O68" s="34"/>
      <c r="P68" s="43">
        <f>IF(Q68="PR",J68,SUM(O69:O73))</f>
        <v>0</v>
      </c>
      <c r="Q68" s="35" t="s">
        <v>114</v>
      </c>
      <c r="R68" s="43">
        <f>IF(Q68="HS",H68,0)</f>
        <v>0</v>
      </c>
      <c r="S68" s="43">
        <f>IF(Q68="HS",I68-P68,0)</f>
        <v>0</v>
      </c>
      <c r="T68" s="43">
        <f>IF(Q68="PS",H68,0)</f>
        <v>0</v>
      </c>
      <c r="U68" s="43">
        <f>IF(Q68="PS",I68-P68,0)</f>
        <v>0</v>
      </c>
      <c r="V68" s="43">
        <f>IF(Q68="MP",H68,0)</f>
        <v>0</v>
      </c>
      <c r="W68" s="43">
        <f>IF(Q68="MP",I68-P68,0)</f>
        <v>0</v>
      </c>
      <c r="X68" s="43">
        <f>IF(Q68="OM",H68,0)</f>
        <v>0</v>
      </c>
      <c r="Y68" s="35"/>
      <c r="Z68" s="42"/>
      <c r="AA68" s="20"/>
      <c r="AB68" s="20"/>
      <c r="AC68" s="20"/>
      <c r="AD68" s="20"/>
      <c r="AE68" s="20"/>
      <c r="AF68" s="20"/>
      <c r="AG68" s="20"/>
      <c r="AH68" s="34"/>
      <c r="AI68" s="43">
        <f>SUM(Z69:Z73)</f>
        <v>0</v>
      </c>
      <c r="AJ68" s="43">
        <f>SUM(AA69:AA73)</f>
        <v>0</v>
      </c>
      <c r="AK68" s="44">
        <f>SUM(AB69:AB73)</f>
        <v>0</v>
      </c>
      <c r="AL68" s="20"/>
    </row>
    <row r="69" spans="1:38" ht="13.7" customHeight="1" x14ac:dyDescent="0.2">
      <c r="A69" s="67" t="s">
        <v>204</v>
      </c>
      <c r="B69" s="67"/>
      <c r="C69" s="67" t="s">
        <v>205</v>
      </c>
      <c r="D69" s="67" t="s">
        <v>206</v>
      </c>
      <c r="E69" s="67" t="s">
        <v>207</v>
      </c>
      <c r="F69" s="68">
        <v>1</v>
      </c>
      <c r="G69" s="68">
        <v>0</v>
      </c>
      <c r="H69" s="68">
        <f>ROUND(F69*AE69,2)</f>
        <v>0</v>
      </c>
      <c r="I69" s="68">
        <f>J69-H69</f>
        <v>0</v>
      </c>
      <c r="J69" s="68">
        <f>ROUND(F69*G69,2)</f>
        <v>0</v>
      </c>
      <c r="K69" s="68">
        <v>2.1199999999999999E-3</v>
      </c>
      <c r="L69" s="68">
        <f>F69*K69</f>
        <v>2.1199999999999999E-3</v>
      </c>
      <c r="M69" s="20"/>
      <c r="N69" s="47" t="s">
        <v>47</v>
      </c>
      <c r="O69" s="48">
        <f>IF(N69="5",I69,0)</f>
        <v>0</v>
      </c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48">
        <f>IF(AD69=0,J69,0)</f>
        <v>0</v>
      </c>
      <c r="AA69" s="48">
        <f>IF(AD69=10,J69,0)</f>
        <v>0</v>
      </c>
      <c r="AB69" s="48">
        <f>IF(AD69=20,J69,0)</f>
        <v>0</v>
      </c>
      <c r="AC69" s="20"/>
      <c r="AD69" s="48">
        <v>10</v>
      </c>
      <c r="AE69" s="48">
        <f>G69*0.97505644472671</f>
        <v>0</v>
      </c>
      <c r="AF69" s="48">
        <f>G69*(1-0.97505644472671)</f>
        <v>0</v>
      </c>
      <c r="AG69" s="20"/>
      <c r="AH69" s="20"/>
      <c r="AI69" s="69"/>
      <c r="AJ69" s="69"/>
      <c r="AK69" s="69"/>
      <c r="AL69" s="20"/>
    </row>
    <row r="70" spans="1:38" ht="13.7" customHeight="1" x14ac:dyDescent="0.2">
      <c r="A70" s="21" t="s">
        <v>208</v>
      </c>
      <c r="B70" s="21"/>
      <c r="C70" s="21" t="s">
        <v>209</v>
      </c>
      <c r="D70" s="21" t="s">
        <v>210</v>
      </c>
      <c r="E70" s="21" t="s">
        <v>207</v>
      </c>
      <c r="F70" s="48">
        <v>1</v>
      </c>
      <c r="G70" s="48">
        <v>0</v>
      </c>
      <c r="H70" s="48">
        <f>ROUND(F70*AE70,2)</f>
        <v>0</v>
      </c>
      <c r="I70" s="48">
        <f>J70-H70</f>
        <v>0</v>
      </c>
      <c r="J70" s="48">
        <f>ROUND(F70*G70,2)</f>
        <v>0</v>
      </c>
      <c r="K70" s="48">
        <v>1.39E-3</v>
      </c>
      <c r="L70" s="48">
        <f>F70*K70</f>
        <v>1.39E-3</v>
      </c>
      <c r="M70" s="20"/>
      <c r="N70" s="47" t="s">
        <v>47</v>
      </c>
      <c r="O70" s="48">
        <f>IF(N70="5",I70,0)</f>
        <v>0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48">
        <f>IF(AD70=0,J70,0)</f>
        <v>0</v>
      </c>
      <c r="AA70" s="48">
        <f>IF(AD70=10,J70,0)</f>
        <v>0</v>
      </c>
      <c r="AB70" s="48">
        <f>IF(AD70=20,J70,0)</f>
        <v>0</v>
      </c>
      <c r="AC70" s="20"/>
      <c r="AD70" s="48">
        <v>10</v>
      </c>
      <c r="AE70" s="48">
        <f>G70*0.757327140080277</f>
        <v>0</v>
      </c>
      <c r="AF70" s="48">
        <f>G70*(1-0.757327140080277)</f>
        <v>0</v>
      </c>
      <c r="AG70" s="20"/>
      <c r="AH70" s="20"/>
      <c r="AI70" s="20"/>
      <c r="AJ70" s="20"/>
      <c r="AK70" s="20"/>
      <c r="AL70" s="20"/>
    </row>
    <row r="71" spans="1:38" ht="13.7" customHeight="1" x14ac:dyDescent="0.2">
      <c r="A71" s="21" t="s">
        <v>211</v>
      </c>
      <c r="B71" s="21"/>
      <c r="C71" s="21" t="s">
        <v>212</v>
      </c>
      <c r="D71" s="21" t="s">
        <v>213</v>
      </c>
      <c r="E71" s="21" t="s">
        <v>207</v>
      </c>
      <c r="F71" s="48">
        <v>1</v>
      </c>
      <c r="G71" s="48">
        <v>0</v>
      </c>
      <c r="H71" s="48">
        <f>ROUND(F71*AE71,2)</f>
        <v>0</v>
      </c>
      <c r="I71" s="48">
        <f>J71-H71</f>
        <v>0</v>
      </c>
      <c r="J71" s="48">
        <f>ROUND(F71*G71,2)</f>
        <v>0</v>
      </c>
      <c r="K71" s="48">
        <v>5.2780000000000001E-2</v>
      </c>
      <c r="L71" s="48">
        <f>F71*K71</f>
        <v>5.2780000000000001E-2</v>
      </c>
      <c r="M71" s="20"/>
      <c r="N71" s="47" t="s">
        <v>47</v>
      </c>
      <c r="O71" s="48">
        <f>IF(N71="5",I71,0)</f>
        <v>0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48">
        <f>IF(AD71=0,J71,0)</f>
        <v>0</v>
      </c>
      <c r="AA71" s="48">
        <f>IF(AD71=10,J71,0)</f>
        <v>0</v>
      </c>
      <c r="AB71" s="48">
        <f>IF(AD71=20,J71,0)</f>
        <v>0</v>
      </c>
      <c r="AC71" s="20"/>
      <c r="AD71" s="48">
        <v>10</v>
      </c>
      <c r="AE71" s="48">
        <f>G71*0.87088489183891</f>
        <v>0</v>
      </c>
      <c r="AF71" s="48">
        <f>G71*(1-0.87088489183891)</f>
        <v>0</v>
      </c>
      <c r="AG71" s="20"/>
      <c r="AH71" s="20"/>
      <c r="AI71" s="20"/>
      <c r="AJ71" s="20"/>
      <c r="AK71" s="20"/>
      <c r="AL71" s="20"/>
    </row>
    <row r="72" spans="1:38" ht="13.7" customHeight="1" x14ac:dyDescent="0.2">
      <c r="A72" s="21" t="s">
        <v>214</v>
      </c>
      <c r="B72" s="21"/>
      <c r="C72" s="21" t="s">
        <v>215</v>
      </c>
      <c r="D72" s="21" t="s">
        <v>216</v>
      </c>
      <c r="E72" s="21" t="s">
        <v>91</v>
      </c>
      <c r="F72" s="48">
        <v>2</v>
      </c>
      <c r="G72" s="48">
        <v>0</v>
      </c>
      <c r="H72" s="48">
        <f>ROUND(F72*AE72,2)</f>
        <v>0</v>
      </c>
      <c r="I72" s="48">
        <f>J72-H72</f>
        <v>0</v>
      </c>
      <c r="J72" s="48">
        <f>ROUND(F72*G72,2)</f>
        <v>0</v>
      </c>
      <c r="K72" s="48">
        <v>1.72E-3</v>
      </c>
      <c r="L72" s="48">
        <f>F72*K72</f>
        <v>3.4399999999999999E-3</v>
      </c>
      <c r="M72" s="20"/>
      <c r="N72" s="47" t="s">
        <v>47</v>
      </c>
      <c r="O72" s="48">
        <f>IF(N72="5",I72,0)</f>
        <v>0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48">
        <f>IF(AD72=0,J72,0)</f>
        <v>0</v>
      </c>
      <c r="AA72" s="48">
        <f>IF(AD72=10,J72,0)</f>
        <v>0</v>
      </c>
      <c r="AB72" s="48">
        <f>IF(AD72=20,J72,0)</f>
        <v>0</v>
      </c>
      <c r="AC72" s="20"/>
      <c r="AD72" s="48">
        <v>10</v>
      </c>
      <c r="AE72" s="48">
        <f>G72*0.924631159742117</f>
        <v>0</v>
      </c>
      <c r="AF72" s="48">
        <f>G72*(1-0.924631159742117)</f>
        <v>0</v>
      </c>
      <c r="AG72" s="20"/>
      <c r="AH72" s="20"/>
      <c r="AI72" s="20"/>
      <c r="AJ72" s="20"/>
      <c r="AK72" s="20"/>
      <c r="AL72" s="20"/>
    </row>
    <row r="73" spans="1:38" ht="13.7" customHeight="1" x14ac:dyDescent="0.2">
      <c r="A73" s="21" t="s">
        <v>217</v>
      </c>
      <c r="B73" s="21"/>
      <c r="C73" s="21" t="s">
        <v>215</v>
      </c>
      <c r="D73" s="21" t="s">
        <v>218</v>
      </c>
      <c r="E73" s="21" t="s">
        <v>91</v>
      </c>
      <c r="F73" s="48">
        <v>3</v>
      </c>
      <c r="G73" s="48">
        <v>0</v>
      </c>
      <c r="H73" s="48">
        <f>ROUND(F73*AE73,2)</f>
        <v>0</v>
      </c>
      <c r="I73" s="48">
        <f>J73-H73</f>
        <v>0</v>
      </c>
      <c r="J73" s="48">
        <f>ROUND(F73*G73,2)</f>
        <v>0</v>
      </c>
      <c r="K73" s="48">
        <v>1.2E-4</v>
      </c>
      <c r="L73" s="48">
        <f>F73*K73</f>
        <v>3.6000000000000002E-4</v>
      </c>
      <c r="M73" s="20"/>
      <c r="N73" s="47" t="s">
        <v>47</v>
      </c>
      <c r="O73" s="48">
        <f>IF(N73="5",I73,0)</f>
        <v>0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48">
        <f>IF(AD73=0,J73,0)</f>
        <v>0</v>
      </c>
      <c r="AA73" s="48">
        <f>IF(AD73=10,J73,0)</f>
        <v>0</v>
      </c>
      <c r="AB73" s="48">
        <f>IF(AD73=20,J73,0)</f>
        <v>0</v>
      </c>
      <c r="AC73" s="20"/>
      <c r="AD73" s="48">
        <v>10</v>
      </c>
      <c r="AE73" s="48">
        <f>G73*0.956942998401293</f>
        <v>0</v>
      </c>
      <c r="AF73" s="48">
        <f>G73*(1-0.956942998401293)</f>
        <v>0</v>
      </c>
      <c r="AG73" s="20"/>
      <c r="AH73" s="20"/>
      <c r="AI73" s="20"/>
      <c r="AJ73" s="20"/>
      <c r="AK73" s="20"/>
      <c r="AL73" s="20"/>
    </row>
    <row r="74" spans="1:38" ht="13.7" customHeight="1" x14ac:dyDescent="0.2">
      <c r="A74" s="56"/>
      <c r="B74" s="57"/>
      <c r="C74" s="58" t="s">
        <v>219</v>
      </c>
      <c r="D74" s="105" t="s">
        <v>220</v>
      </c>
      <c r="E74" s="100"/>
      <c r="F74" s="100"/>
      <c r="G74" s="100"/>
      <c r="H74" s="59">
        <f>SUM(H75:H80)</f>
        <v>0</v>
      </c>
      <c r="I74" s="59">
        <f>SUM(I75:I80)</f>
        <v>0</v>
      </c>
      <c r="J74" s="59">
        <f>H74+I74</f>
        <v>0</v>
      </c>
      <c r="K74" s="60"/>
      <c r="L74" s="59">
        <f>SUM(L75:L80)</f>
        <v>0.13006000000000001</v>
      </c>
      <c r="M74" s="42"/>
      <c r="N74" s="20"/>
      <c r="O74" s="34"/>
      <c r="P74" s="59">
        <f>IF(Q74="PR",J74,SUM(O75:O80))</f>
        <v>0</v>
      </c>
      <c r="Q74" s="60" t="s">
        <v>114</v>
      </c>
      <c r="R74" s="59">
        <f>IF(Q74="HS",H74,0)</f>
        <v>0</v>
      </c>
      <c r="S74" s="59">
        <f>IF(Q74="HS",I74-P74,0)</f>
        <v>0</v>
      </c>
      <c r="T74" s="59">
        <f>IF(Q74="PS",H74,0)</f>
        <v>0</v>
      </c>
      <c r="U74" s="59">
        <f>IF(Q74="PS",I74-P74,0)</f>
        <v>0</v>
      </c>
      <c r="V74" s="59">
        <f>IF(Q74="MP",H74,0)</f>
        <v>0</v>
      </c>
      <c r="W74" s="59">
        <f>IF(Q74="MP",I74-P74,0)</f>
        <v>0</v>
      </c>
      <c r="X74" s="59">
        <f>IF(Q74="OM",H74,0)</f>
        <v>0</v>
      </c>
      <c r="Y74" s="60"/>
      <c r="Z74" s="42"/>
      <c r="AA74" s="20"/>
      <c r="AB74" s="20"/>
      <c r="AC74" s="20"/>
      <c r="AD74" s="20"/>
      <c r="AE74" s="20"/>
      <c r="AF74" s="20"/>
      <c r="AG74" s="20"/>
      <c r="AH74" s="34"/>
      <c r="AI74" s="59">
        <f>SUM(Z75:Z80)</f>
        <v>0</v>
      </c>
      <c r="AJ74" s="59">
        <f>SUM(AA75:AA80)</f>
        <v>0</v>
      </c>
      <c r="AK74" s="61">
        <f>SUM(AB75:AB80)</f>
        <v>0</v>
      </c>
      <c r="AL74" s="20"/>
    </row>
    <row r="75" spans="1:38" ht="13.7" customHeight="1" x14ac:dyDescent="0.2">
      <c r="A75" s="67" t="s">
        <v>221</v>
      </c>
      <c r="B75" s="67"/>
      <c r="C75" s="67" t="s">
        <v>222</v>
      </c>
      <c r="D75" s="67" t="s">
        <v>223</v>
      </c>
      <c r="E75" s="67" t="s">
        <v>133</v>
      </c>
      <c r="F75" s="68">
        <v>10</v>
      </c>
      <c r="G75" s="68">
        <v>0</v>
      </c>
      <c r="H75" s="68">
        <f t="shared" ref="H75:H80" si="16">ROUND(F75*AE75,2)</f>
        <v>0</v>
      </c>
      <c r="I75" s="68">
        <f t="shared" ref="I75:I80" si="17">J75-H75</f>
        <v>0</v>
      </c>
      <c r="J75" s="68">
        <f t="shared" ref="J75:J80" si="18">ROUND(F75*G75,2)</f>
        <v>0</v>
      </c>
      <c r="K75" s="68">
        <v>6.3400000000000001E-3</v>
      </c>
      <c r="L75" s="68">
        <f t="shared" ref="L75:L80" si="19">F75*K75</f>
        <v>6.3399999999999998E-2</v>
      </c>
      <c r="M75" s="20"/>
      <c r="N75" s="47" t="s">
        <v>47</v>
      </c>
      <c r="O75" s="48">
        <f t="shared" ref="O75:O80" si="20">IF(N75="5",I75,0)</f>
        <v>0</v>
      </c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48">
        <f t="shared" ref="Z75:Z80" si="21">IF(AD75=0,J75,0)</f>
        <v>0</v>
      </c>
      <c r="AA75" s="48">
        <f t="shared" ref="AA75:AA80" si="22">IF(AD75=10,J75,0)</f>
        <v>0</v>
      </c>
      <c r="AB75" s="48">
        <f t="shared" ref="AB75:AB80" si="23">IF(AD75=20,J75,0)</f>
        <v>0</v>
      </c>
      <c r="AC75" s="20"/>
      <c r="AD75" s="48">
        <v>10</v>
      </c>
      <c r="AE75" s="48">
        <f>G75*0.466214222484509</f>
        <v>0</v>
      </c>
      <c r="AF75" s="48">
        <f>G75*(1-0.466214222484509)</f>
        <v>0</v>
      </c>
      <c r="AG75" s="20"/>
      <c r="AH75" s="20"/>
      <c r="AI75" s="69"/>
      <c r="AJ75" s="69"/>
      <c r="AK75" s="69"/>
      <c r="AL75" s="20"/>
    </row>
    <row r="76" spans="1:38" ht="13.7" customHeight="1" x14ac:dyDescent="0.2">
      <c r="A76" s="21" t="s">
        <v>224</v>
      </c>
      <c r="B76" s="21"/>
      <c r="C76" s="21" t="s">
        <v>225</v>
      </c>
      <c r="D76" s="21" t="s">
        <v>226</v>
      </c>
      <c r="E76" s="21" t="s">
        <v>133</v>
      </c>
      <c r="F76" s="48">
        <v>10</v>
      </c>
      <c r="G76" s="48">
        <v>0</v>
      </c>
      <c r="H76" s="48">
        <f t="shared" si="16"/>
        <v>0</v>
      </c>
      <c r="I76" s="48">
        <f t="shared" si="17"/>
        <v>0</v>
      </c>
      <c r="J76" s="48">
        <f t="shared" si="18"/>
        <v>0</v>
      </c>
      <c r="K76" s="48">
        <v>6.62E-3</v>
      </c>
      <c r="L76" s="48">
        <f t="shared" si="19"/>
        <v>6.6199999999999995E-2</v>
      </c>
      <c r="M76" s="20"/>
      <c r="N76" s="47" t="s">
        <v>47</v>
      </c>
      <c r="O76" s="48">
        <f t="shared" si="20"/>
        <v>0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48">
        <f t="shared" si="21"/>
        <v>0</v>
      </c>
      <c r="AA76" s="48">
        <f t="shared" si="22"/>
        <v>0</v>
      </c>
      <c r="AB76" s="48">
        <f t="shared" si="23"/>
        <v>0</v>
      </c>
      <c r="AC76" s="20"/>
      <c r="AD76" s="48">
        <v>10</v>
      </c>
      <c r="AE76" s="48">
        <f>G76*0.553687047725075</f>
        <v>0</v>
      </c>
      <c r="AF76" s="48">
        <f>G76*(1-0.553687047725075)</f>
        <v>0</v>
      </c>
      <c r="AG76" s="20"/>
      <c r="AH76" s="20"/>
      <c r="AI76" s="20"/>
      <c r="AJ76" s="20"/>
      <c r="AK76" s="20"/>
      <c r="AL76" s="20"/>
    </row>
    <row r="77" spans="1:38" ht="13.7" customHeight="1" x14ac:dyDescent="0.2">
      <c r="A77" s="21" t="s">
        <v>227</v>
      </c>
      <c r="B77" s="21"/>
      <c r="C77" s="21" t="s">
        <v>155</v>
      </c>
      <c r="D77" s="21" t="s">
        <v>228</v>
      </c>
      <c r="E77" s="21" t="s">
        <v>133</v>
      </c>
      <c r="F77" s="48">
        <v>10</v>
      </c>
      <c r="G77" s="48">
        <v>0</v>
      </c>
      <c r="H77" s="48">
        <f t="shared" si="16"/>
        <v>0</v>
      </c>
      <c r="I77" s="48">
        <f t="shared" si="17"/>
        <v>0</v>
      </c>
      <c r="J77" s="48">
        <f t="shared" si="18"/>
        <v>0</v>
      </c>
      <c r="K77" s="48">
        <v>4.0000000000000003E-5</v>
      </c>
      <c r="L77" s="48">
        <f t="shared" si="19"/>
        <v>4.0000000000000002E-4</v>
      </c>
      <c r="M77" s="20"/>
      <c r="N77" s="47" t="s">
        <v>157</v>
      </c>
      <c r="O77" s="48">
        <f t="shared" si="20"/>
        <v>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48">
        <f t="shared" si="21"/>
        <v>0</v>
      </c>
      <c r="AA77" s="48">
        <f t="shared" si="22"/>
        <v>0</v>
      </c>
      <c r="AB77" s="48">
        <f t="shared" si="23"/>
        <v>0</v>
      </c>
      <c r="AC77" s="20"/>
      <c r="AD77" s="48">
        <v>10</v>
      </c>
      <c r="AE77" s="48">
        <f>G77*1</f>
        <v>0</v>
      </c>
      <c r="AF77" s="48">
        <f>G77*(1-1)</f>
        <v>0</v>
      </c>
      <c r="AG77" s="20"/>
      <c r="AH77" s="20"/>
      <c r="AI77" s="20"/>
      <c r="AJ77" s="20"/>
      <c r="AK77" s="20"/>
      <c r="AL77" s="20"/>
    </row>
    <row r="78" spans="1:38" ht="13.7" customHeight="1" x14ac:dyDescent="0.2">
      <c r="A78" s="21" t="s">
        <v>229</v>
      </c>
      <c r="B78" s="21"/>
      <c r="C78" s="21" t="s">
        <v>159</v>
      </c>
      <c r="D78" s="21" t="s">
        <v>230</v>
      </c>
      <c r="E78" s="21" t="s">
        <v>133</v>
      </c>
      <c r="F78" s="48">
        <v>1</v>
      </c>
      <c r="G78" s="48">
        <v>0</v>
      </c>
      <c r="H78" s="48">
        <f t="shared" si="16"/>
        <v>0</v>
      </c>
      <c r="I78" s="48">
        <f t="shared" si="17"/>
        <v>0</v>
      </c>
      <c r="J78" s="48">
        <f t="shared" si="18"/>
        <v>0</v>
      </c>
      <c r="K78" s="48">
        <v>6.0000000000000002E-5</v>
      </c>
      <c r="L78" s="48">
        <f t="shared" si="19"/>
        <v>6.0000000000000002E-5</v>
      </c>
      <c r="M78" s="20"/>
      <c r="N78" s="47" t="s">
        <v>157</v>
      </c>
      <c r="O78" s="48">
        <f t="shared" si="20"/>
        <v>0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48">
        <f t="shared" si="21"/>
        <v>0</v>
      </c>
      <c r="AA78" s="48">
        <f t="shared" si="22"/>
        <v>0</v>
      </c>
      <c r="AB78" s="48">
        <f t="shared" si="23"/>
        <v>0</v>
      </c>
      <c r="AC78" s="20"/>
      <c r="AD78" s="48">
        <v>10</v>
      </c>
      <c r="AE78" s="48">
        <f>G78*1</f>
        <v>0</v>
      </c>
      <c r="AF78" s="48">
        <f>G78*(1-1)</f>
        <v>0</v>
      </c>
      <c r="AG78" s="20"/>
      <c r="AH78" s="20"/>
      <c r="AI78" s="20"/>
      <c r="AJ78" s="20"/>
      <c r="AK78" s="20"/>
      <c r="AL78" s="20"/>
    </row>
    <row r="79" spans="1:38" ht="13.7" customHeight="1" x14ac:dyDescent="0.2">
      <c r="A79" s="21" t="s">
        <v>231</v>
      </c>
      <c r="B79" s="21"/>
      <c r="C79" s="21" t="s">
        <v>232</v>
      </c>
      <c r="D79" s="21" t="s">
        <v>233</v>
      </c>
      <c r="E79" s="21" t="s">
        <v>207</v>
      </c>
      <c r="F79" s="48">
        <v>1</v>
      </c>
      <c r="G79" s="48">
        <v>0</v>
      </c>
      <c r="H79" s="48">
        <f t="shared" si="16"/>
        <v>0</v>
      </c>
      <c r="I79" s="48">
        <f t="shared" si="17"/>
        <v>0</v>
      </c>
      <c r="J79" s="48">
        <f t="shared" si="18"/>
        <v>0</v>
      </c>
      <c r="K79" s="48">
        <v>0</v>
      </c>
      <c r="L79" s="48">
        <f t="shared" si="19"/>
        <v>0</v>
      </c>
      <c r="M79" s="20"/>
      <c r="N79" s="47" t="s">
        <v>47</v>
      </c>
      <c r="O79" s="48">
        <f t="shared" si="20"/>
        <v>0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48">
        <f t="shared" si="21"/>
        <v>0</v>
      </c>
      <c r="AA79" s="48">
        <f t="shared" si="22"/>
        <v>0</v>
      </c>
      <c r="AB79" s="48">
        <f t="shared" si="23"/>
        <v>0</v>
      </c>
      <c r="AC79" s="20"/>
      <c r="AD79" s="48">
        <v>10</v>
      </c>
      <c r="AE79" s="48">
        <f>G79*0.0257510729613734</f>
        <v>0</v>
      </c>
      <c r="AF79" s="48">
        <f>G79*(1-0.0257510729613734)</f>
        <v>0</v>
      </c>
      <c r="AG79" s="20"/>
      <c r="AH79" s="20"/>
      <c r="AI79" s="20"/>
      <c r="AJ79" s="20"/>
      <c r="AK79" s="20"/>
      <c r="AL79" s="20"/>
    </row>
    <row r="80" spans="1:38" ht="13.7" customHeight="1" x14ac:dyDescent="0.2">
      <c r="A80" s="21" t="s">
        <v>234</v>
      </c>
      <c r="B80" s="21"/>
      <c r="C80" s="21" t="s">
        <v>235</v>
      </c>
      <c r="D80" s="21" t="s">
        <v>236</v>
      </c>
      <c r="E80" s="21" t="s">
        <v>91</v>
      </c>
      <c r="F80" s="48">
        <v>1</v>
      </c>
      <c r="G80" s="48">
        <v>0</v>
      </c>
      <c r="H80" s="48">
        <f t="shared" si="16"/>
        <v>0</v>
      </c>
      <c r="I80" s="48">
        <f t="shared" si="17"/>
        <v>0</v>
      </c>
      <c r="J80" s="48">
        <f t="shared" si="18"/>
        <v>0</v>
      </c>
      <c r="K80" s="48">
        <v>0</v>
      </c>
      <c r="L80" s="48">
        <f t="shared" si="19"/>
        <v>0</v>
      </c>
      <c r="M80" s="20"/>
      <c r="N80" s="47" t="s">
        <v>47</v>
      </c>
      <c r="O80" s="48">
        <f t="shared" si="20"/>
        <v>0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48">
        <f t="shared" si="21"/>
        <v>0</v>
      </c>
      <c r="AA80" s="48">
        <f t="shared" si="22"/>
        <v>0</v>
      </c>
      <c r="AB80" s="48">
        <f t="shared" si="23"/>
        <v>0</v>
      </c>
      <c r="AC80" s="20"/>
      <c r="AD80" s="48">
        <v>10</v>
      </c>
      <c r="AE80" s="48">
        <f>G80*0</f>
        <v>0</v>
      </c>
      <c r="AF80" s="48">
        <f>G80*(1-0)</f>
        <v>0</v>
      </c>
      <c r="AG80" s="20"/>
      <c r="AH80" s="20"/>
      <c r="AI80" s="20"/>
      <c r="AJ80" s="20"/>
      <c r="AK80" s="20"/>
      <c r="AL80" s="20"/>
    </row>
    <row r="81" spans="1:38" ht="13.7" customHeight="1" x14ac:dyDescent="0.2">
      <c r="A81" s="70"/>
      <c r="B81" s="71"/>
      <c r="C81" s="72" t="s">
        <v>237</v>
      </c>
      <c r="D81" s="101" t="s">
        <v>238</v>
      </c>
      <c r="E81" s="102"/>
      <c r="F81" s="102"/>
      <c r="G81" s="102"/>
      <c r="H81" s="73">
        <f>SUM(H82:H85)</f>
        <v>0</v>
      </c>
      <c r="I81" s="73">
        <f>SUM(I82:I85)</f>
        <v>0</v>
      </c>
      <c r="J81" s="73">
        <f>H81+I81</f>
        <v>0</v>
      </c>
      <c r="K81" s="74"/>
      <c r="L81" s="73">
        <f>SUM(L82:L85)</f>
        <v>5.8E-4</v>
      </c>
      <c r="M81" s="42"/>
      <c r="N81" s="20"/>
      <c r="O81" s="34"/>
      <c r="P81" s="73">
        <f>IF(Q81="PR",J81,SUM(O82:O85))</f>
        <v>0</v>
      </c>
      <c r="Q81" s="74" t="s">
        <v>114</v>
      </c>
      <c r="R81" s="73">
        <f>IF(Q81="HS",H81,0)</f>
        <v>0</v>
      </c>
      <c r="S81" s="73">
        <f>IF(Q81="HS",I81-P81,0)</f>
        <v>0</v>
      </c>
      <c r="T81" s="73">
        <f>IF(Q81="PS",H81,0)</f>
        <v>0</v>
      </c>
      <c r="U81" s="73">
        <f>IF(Q81="PS",I81-P81,0)</f>
        <v>0</v>
      </c>
      <c r="V81" s="73">
        <f>IF(Q81="MP",H81,0)</f>
        <v>0</v>
      </c>
      <c r="W81" s="73">
        <f>IF(Q81="MP",I81-P81,0)</f>
        <v>0</v>
      </c>
      <c r="X81" s="73">
        <f>IF(Q81="OM",H81,0)</f>
        <v>0</v>
      </c>
      <c r="Y81" s="74"/>
      <c r="Z81" s="42"/>
      <c r="AA81" s="20"/>
      <c r="AB81" s="20"/>
      <c r="AC81" s="20"/>
      <c r="AD81" s="20"/>
      <c r="AE81" s="20"/>
      <c r="AF81" s="20"/>
      <c r="AG81" s="20"/>
      <c r="AH81" s="34"/>
      <c r="AI81" s="73">
        <f>SUM(Z82:Z85)</f>
        <v>0</v>
      </c>
      <c r="AJ81" s="73">
        <f>SUM(AA82:AA85)</f>
        <v>0</v>
      </c>
      <c r="AK81" s="75">
        <f>SUM(AB82:AB85)</f>
        <v>0</v>
      </c>
      <c r="AL81" s="20"/>
    </row>
    <row r="82" spans="1:38" ht="13.7" customHeight="1" x14ac:dyDescent="0.2">
      <c r="A82" s="21" t="s">
        <v>239</v>
      </c>
      <c r="B82" s="21"/>
      <c r="C82" s="21" t="s">
        <v>240</v>
      </c>
      <c r="D82" s="21" t="s">
        <v>241</v>
      </c>
      <c r="E82" s="21" t="s">
        <v>91</v>
      </c>
      <c r="F82" s="48">
        <v>1</v>
      </c>
      <c r="G82" s="48">
        <v>0</v>
      </c>
      <c r="H82" s="48">
        <f>ROUND(F82*AE82,2)</f>
        <v>0</v>
      </c>
      <c r="I82" s="48">
        <f>J82-H82</f>
        <v>0</v>
      </c>
      <c r="J82" s="48">
        <f>ROUND(F82*G82,2)</f>
        <v>0</v>
      </c>
      <c r="K82" s="48">
        <v>1.2999999999999999E-4</v>
      </c>
      <c r="L82" s="48">
        <f>F82*K82</f>
        <v>1.2999999999999999E-4</v>
      </c>
      <c r="M82" s="20"/>
      <c r="N82" s="47" t="s">
        <v>47</v>
      </c>
      <c r="O82" s="48">
        <f>IF(N82="5",I82,0)</f>
        <v>0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48">
        <f>IF(AD82=0,J82,0)</f>
        <v>0</v>
      </c>
      <c r="AA82" s="48">
        <f>IF(AD82=10,J82,0)</f>
        <v>0</v>
      </c>
      <c r="AB82" s="48">
        <f>IF(AD82=20,J82,0)</f>
        <v>0</v>
      </c>
      <c r="AC82" s="20"/>
      <c r="AD82" s="48">
        <v>10</v>
      </c>
      <c r="AE82" s="48">
        <f>G82*0.562703760052163</f>
        <v>0</v>
      </c>
      <c r="AF82" s="48">
        <f>G82*(1-0.562703760052163)</f>
        <v>0</v>
      </c>
      <c r="AG82" s="20"/>
      <c r="AH82" s="20"/>
      <c r="AI82" s="20"/>
      <c r="AJ82" s="20"/>
      <c r="AK82" s="20"/>
      <c r="AL82" s="20"/>
    </row>
    <row r="83" spans="1:38" ht="13.7" customHeight="1" x14ac:dyDescent="0.2">
      <c r="A83" s="21" t="s">
        <v>242</v>
      </c>
      <c r="B83" s="21"/>
      <c r="C83" s="21" t="s">
        <v>243</v>
      </c>
      <c r="D83" s="21" t="s">
        <v>244</v>
      </c>
      <c r="E83" s="21" t="s">
        <v>91</v>
      </c>
      <c r="F83" s="48">
        <v>1</v>
      </c>
      <c r="G83" s="48">
        <v>0</v>
      </c>
      <c r="H83" s="48">
        <f>ROUND(F83*AE83,2)</f>
        <v>0</v>
      </c>
      <c r="I83" s="48">
        <f>J83-H83</f>
        <v>0</v>
      </c>
      <c r="J83" s="48">
        <f>ROUND(F83*G83,2)</f>
        <v>0</v>
      </c>
      <c r="K83" s="48">
        <v>2.3000000000000001E-4</v>
      </c>
      <c r="L83" s="48">
        <f>F83*K83</f>
        <v>2.3000000000000001E-4</v>
      </c>
      <c r="M83" s="20"/>
      <c r="N83" s="47" t="s">
        <v>47</v>
      </c>
      <c r="O83" s="48">
        <f>IF(N83="5",I83,0)</f>
        <v>0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48">
        <f>IF(AD83=0,J83,0)</f>
        <v>0</v>
      </c>
      <c r="AA83" s="48">
        <f>IF(AD83=10,J83,0)</f>
        <v>0</v>
      </c>
      <c r="AB83" s="48">
        <f>IF(AD83=20,J83,0)</f>
        <v>0</v>
      </c>
      <c r="AC83" s="20"/>
      <c r="AD83" s="48">
        <v>10</v>
      </c>
      <c r="AE83" s="48">
        <f>G83*0.812024101171953</f>
        <v>0</v>
      </c>
      <c r="AF83" s="48">
        <f>G83*(1-0.812024101171953)</f>
        <v>0</v>
      </c>
      <c r="AG83" s="20"/>
      <c r="AH83" s="20"/>
      <c r="AI83" s="20"/>
      <c r="AJ83" s="20"/>
      <c r="AK83" s="20"/>
      <c r="AL83" s="20"/>
    </row>
    <row r="84" spans="1:38" ht="13.7" customHeight="1" x14ac:dyDescent="0.2">
      <c r="A84" s="21" t="s">
        <v>245</v>
      </c>
      <c r="B84" s="21"/>
      <c r="C84" s="21" t="s">
        <v>246</v>
      </c>
      <c r="D84" s="21" t="s">
        <v>247</v>
      </c>
      <c r="E84" s="21" t="s">
        <v>91</v>
      </c>
      <c r="F84" s="48">
        <v>1</v>
      </c>
      <c r="G84" s="48">
        <v>0</v>
      </c>
      <c r="H84" s="48">
        <f>ROUND(F84*AE84,2)</f>
        <v>0</v>
      </c>
      <c r="I84" s="48">
        <f>J84-H84</f>
        <v>0</v>
      </c>
      <c r="J84" s="48">
        <f>ROUND(F84*G84,2)</f>
        <v>0</v>
      </c>
      <c r="K84" s="48">
        <v>1.2E-4</v>
      </c>
      <c r="L84" s="48">
        <f>F84*K84</f>
        <v>1.2E-4</v>
      </c>
      <c r="M84" s="20"/>
      <c r="N84" s="47" t="s">
        <v>47</v>
      </c>
      <c r="O84" s="48">
        <f>IF(N84="5",I84,0)</f>
        <v>0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48">
        <f>IF(AD84=0,J84,0)</f>
        <v>0</v>
      </c>
      <c r="AA84" s="48">
        <f>IF(AD84=10,J84,0)</f>
        <v>0</v>
      </c>
      <c r="AB84" s="48">
        <f>IF(AD84=20,J84,0)</f>
        <v>0</v>
      </c>
      <c r="AC84" s="20"/>
      <c r="AD84" s="48">
        <v>10</v>
      </c>
      <c r="AE84" s="48">
        <f>G84*0.908100239977969</f>
        <v>0</v>
      </c>
      <c r="AF84" s="48">
        <f>G84*(1-0.908100239977969)</f>
        <v>0</v>
      </c>
      <c r="AG84" s="20"/>
      <c r="AH84" s="20"/>
      <c r="AI84" s="20"/>
      <c r="AJ84" s="20"/>
      <c r="AK84" s="20"/>
      <c r="AL84" s="20"/>
    </row>
    <row r="85" spans="1:38" ht="13.7" customHeight="1" x14ac:dyDescent="0.2">
      <c r="A85" s="21" t="s">
        <v>248</v>
      </c>
      <c r="B85" s="21"/>
      <c r="C85" s="21" t="s">
        <v>249</v>
      </c>
      <c r="D85" s="21" t="s">
        <v>250</v>
      </c>
      <c r="E85" s="21" t="s">
        <v>91</v>
      </c>
      <c r="F85" s="48">
        <v>1</v>
      </c>
      <c r="G85" s="48">
        <v>0</v>
      </c>
      <c r="H85" s="48">
        <f>ROUND(F85*AE85,2)</f>
        <v>0</v>
      </c>
      <c r="I85" s="48">
        <f>J85-H85</f>
        <v>0</v>
      </c>
      <c r="J85" s="48">
        <f>ROUND(F85*G85,2)</f>
        <v>0</v>
      </c>
      <c r="K85" s="48">
        <v>1E-4</v>
      </c>
      <c r="L85" s="48">
        <f>F85*K85</f>
        <v>1E-4</v>
      </c>
      <c r="M85" s="20"/>
      <c r="N85" s="47" t="s">
        <v>47</v>
      </c>
      <c r="O85" s="48">
        <f>IF(N85="5",I85,0)</f>
        <v>0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48">
        <f>IF(AD85=0,J85,0)</f>
        <v>0</v>
      </c>
      <c r="AA85" s="48">
        <f>IF(AD85=10,J85,0)</f>
        <v>0</v>
      </c>
      <c r="AB85" s="48">
        <f>IF(AD85=20,J85,0)</f>
        <v>0</v>
      </c>
      <c r="AC85" s="20"/>
      <c r="AD85" s="48">
        <v>10</v>
      </c>
      <c r="AE85" s="48">
        <f>G85*0.737413622902271</f>
        <v>0</v>
      </c>
      <c r="AF85" s="48">
        <f>G85*(1-0.737413622902271)</f>
        <v>0</v>
      </c>
      <c r="AG85" s="20"/>
      <c r="AH85" s="20"/>
      <c r="AI85" s="20"/>
      <c r="AJ85" s="20"/>
      <c r="AK85" s="20"/>
      <c r="AL85" s="20"/>
    </row>
    <row r="86" spans="1:38" ht="13.7" customHeight="1" x14ac:dyDescent="0.2">
      <c r="A86" s="56"/>
      <c r="B86" s="57"/>
      <c r="C86" s="58" t="s">
        <v>251</v>
      </c>
      <c r="D86" s="105" t="s">
        <v>252</v>
      </c>
      <c r="E86" s="100"/>
      <c r="F86" s="100"/>
      <c r="G86" s="100"/>
      <c r="H86" s="59">
        <f>SUM(H87:H88)</f>
        <v>0</v>
      </c>
      <c r="I86" s="59">
        <f>SUM(I87:I88)</f>
        <v>0</v>
      </c>
      <c r="J86" s="59">
        <f>H86+I86</f>
        <v>0</v>
      </c>
      <c r="K86" s="60"/>
      <c r="L86" s="59">
        <f>SUM(L87:L88)</f>
        <v>6.3740000000000005E-2</v>
      </c>
      <c r="M86" s="42"/>
      <c r="N86" s="20"/>
      <c r="O86" s="34"/>
      <c r="P86" s="59">
        <f>IF(Q86="PR",J86,SUM(O87:O88))</f>
        <v>0</v>
      </c>
      <c r="Q86" s="60" t="s">
        <v>114</v>
      </c>
      <c r="R86" s="59">
        <f>IF(Q86="HS",H86,0)</f>
        <v>0</v>
      </c>
      <c r="S86" s="59">
        <f>IF(Q86="HS",I86-P86,0)</f>
        <v>0</v>
      </c>
      <c r="T86" s="59">
        <f>IF(Q86="PS",H86,0)</f>
        <v>0</v>
      </c>
      <c r="U86" s="59">
        <f>IF(Q86="PS",I86-P86,0)</f>
        <v>0</v>
      </c>
      <c r="V86" s="59">
        <f>IF(Q86="MP",H86,0)</f>
        <v>0</v>
      </c>
      <c r="W86" s="59">
        <f>IF(Q86="MP",I86-P86,0)</f>
        <v>0</v>
      </c>
      <c r="X86" s="59">
        <f>IF(Q86="OM",H86,0)</f>
        <v>0</v>
      </c>
      <c r="Y86" s="60"/>
      <c r="Z86" s="42"/>
      <c r="AA86" s="20"/>
      <c r="AB86" s="20"/>
      <c r="AC86" s="20"/>
      <c r="AD86" s="20"/>
      <c r="AE86" s="20"/>
      <c r="AF86" s="20"/>
      <c r="AG86" s="20"/>
      <c r="AH86" s="34"/>
      <c r="AI86" s="59">
        <f>SUM(Z87:Z88)</f>
        <v>0</v>
      </c>
      <c r="AJ86" s="59">
        <f>SUM(AA87:AA88)</f>
        <v>0</v>
      </c>
      <c r="AK86" s="61">
        <f>SUM(AB87:AB88)</f>
        <v>0</v>
      </c>
      <c r="AL86" s="20"/>
    </row>
    <row r="87" spans="1:38" ht="13.7" customHeight="1" x14ac:dyDescent="0.2">
      <c r="A87" s="67" t="s">
        <v>253</v>
      </c>
      <c r="B87" s="67"/>
      <c r="C87" s="67" t="s">
        <v>254</v>
      </c>
      <c r="D87" s="67" t="s">
        <v>252</v>
      </c>
      <c r="E87" s="67" t="s">
        <v>91</v>
      </c>
      <c r="F87" s="68">
        <v>1</v>
      </c>
      <c r="G87" s="68">
        <v>0</v>
      </c>
      <c r="H87" s="68">
        <f>ROUND(F87*AE87,2)</f>
        <v>0</v>
      </c>
      <c r="I87" s="68">
        <f>J87-H87</f>
        <v>0</v>
      </c>
      <c r="J87" s="68">
        <f>ROUND(F87*G87,2)</f>
        <v>0</v>
      </c>
      <c r="K87" s="68">
        <v>3.1350000000000003E-2</v>
      </c>
      <c r="L87" s="68">
        <f>F87*K87</f>
        <v>3.1350000000000003E-2</v>
      </c>
      <c r="M87" s="20"/>
      <c r="N87" s="47" t="s">
        <v>47</v>
      </c>
      <c r="O87" s="48">
        <f>IF(N87="5",I87,0)</f>
        <v>0</v>
      </c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48">
        <f>IF(AD87=0,J87,0)</f>
        <v>0</v>
      </c>
      <c r="AA87" s="48">
        <f>IF(AD87=10,J87,0)</f>
        <v>0</v>
      </c>
      <c r="AB87" s="48">
        <f>IF(AD87=20,J87,0)</f>
        <v>0</v>
      </c>
      <c r="AC87" s="20"/>
      <c r="AD87" s="48">
        <v>10</v>
      </c>
      <c r="AE87" s="48">
        <f>G87*0.913616165125132</f>
        <v>0</v>
      </c>
      <c r="AF87" s="48">
        <f>G87*(1-0.913616165125132)</f>
        <v>0</v>
      </c>
      <c r="AG87" s="20"/>
      <c r="AH87" s="20"/>
      <c r="AI87" s="69"/>
      <c r="AJ87" s="69"/>
      <c r="AK87" s="69"/>
      <c r="AL87" s="20"/>
    </row>
    <row r="88" spans="1:38" ht="13.7" customHeight="1" x14ac:dyDescent="0.2">
      <c r="A88" s="21" t="s">
        <v>255</v>
      </c>
      <c r="B88" s="21"/>
      <c r="C88" s="21" t="s">
        <v>256</v>
      </c>
      <c r="D88" s="78" t="s">
        <v>257</v>
      </c>
      <c r="E88" s="21" t="s">
        <v>207</v>
      </c>
      <c r="F88" s="80">
        <v>1</v>
      </c>
      <c r="G88" s="48">
        <v>0</v>
      </c>
      <c r="H88" s="48">
        <f>ROUND(F88*AE88,2)</f>
        <v>0</v>
      </c>
      <c r="I88" s="48">
        <f>J88-H88</f>
        <v>0</v>
      </c>
      <c r="J88" s="48">
        <f>ROUND(F88*G88,2)</f>
        <v>0</v>
      </c>
      <c r="K88" s="48">
        <v>3.2390000000000002E-2</v>
      </c>
      <c r="L88" s="48">
        <f>F88*K88</f>
        <v>3.2390000000000002E-2</v>
      </c>
      <c r="M88" s="20"/>
      <c r="N88" s="47" t="s">
        <v>47</v>
      </c>
      <c r="O88" s="48">
        <f>IF(N88="5",I88,0)</f>
        <v>0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48">
        <f>IF(AD88=0,J88,0)</f>
        <v>0</v>
      </c>
      <c r="AA88" s="48">
        <f>IF(AD88=10,J88,0)</f>
        <v>0</v>
      </c>
      <c r="AB88" s="48">
        <f>IF(AD88=20,J88,0)</f>
        <v>0</v>
      </c>
      <c r="AC88" s="20"/>
      <c r="AD88" s="48">
        <v>10</v>
      </c>
      <c r="AE88" s="48">
        <f>G88*0.913861602849392</f>
        <v>0</v>
      </c>
      <c r="AF88" s="48">
        <f>G88*(1-0.913861602849392)</f>
        <v>0</v>
      </c>
      <c r="AG88" s="20"/>
      <c r="AH88" s="20"/>
      <c r="AI88" s="20"/>
      <c r="AJ88" s="20"/>
      <c r="AK88" s="20"/>
      <c r="AL88" s="20"/>
    </row>
    <row r="89" spans="1:38" ht="13.7" customHeight="1" x14ac:dyDescent="0.2">
      <c r="A89" s="56"/>
      <c r="B89" s="57"/>
      <c r="C89" s="58" t="s">
        <v>258</v>
      </c>
      <c r="D89" s="95" t="s">
        <v>259</v>
      </c>
      <c r="E89" s="100"/>
      <c r="F89" s="100"/>
      <c r="G89" s="100"/>
      <c r="H89" s="59">
        <v>0</v>
      </c>
      <c r="I89" s="59">
        <v>0</v>
      </c>
      <c r="J89" s="59">
        <v>0</v>
      </c>
      <c r="K89" s="60"/>
      <c r="L89" s="59">
        <v>0</v>
      </c>
      <c r="M89" s="42"/>
      <c r="N89" s="20"/>
      <c r="O89" s="34"/>
      <c r="P89" s="76"/>
      <c r="Q89" s="60" t="s">
        <v>114</v>
      </c>
      <c r="R89" s="59">
        <f>IF(Q89="HS",H89,0)</f>
        <v>0</v>
      </c>
      <c r="S89" s="59">
        <f>IF(Q89="HS",I89-P89,0)</f>
        <v>0</v>
      </c>
      <c r="T89" s="59">
        <f>IF(Q89="PS",H89,0)</f>
        <v>0</v>
      </c>
      <c r="U89" s="59">
        <f>IF(Q89="PS",I89-P89,0)</f>
        <v>0</v>
      </c>
      <c r="V89" s="59">
        <f>IF(Q89="MP",H89,0)</f>
        <v>0</v>
      </c>
      <c r="W89" s="59">
        <f>IF(Q89="MP",I89-P89,0)</f>
        <v>0</v>
      </c>
      <c r="X89" s="59">
        <f>IF(Q89="OM",H89,0)</f>
        <v>0</v>
      </c>
      <c r="Y89" s="60"/>
      <c r="Z89" s="42"/>
      <c r="AA89" s="20"/>
      <c r="AB89" s="20"/>
      <c r="AC89" s="20"/>
      <c r="AD89" s="20"/>
      <c r="AE89" s="20"/>
      <c r="AF89" s="20"/>
      <c r="AG89" s="20"/>
      <c r="AH89" s="34"/>
      <c r="AI89" s="76"/>
      <c r="AJ89" s="76"/>
      <c r="AK89" s="77"/>
      <c r="AL89" s="20"/>
    </row>
    <row r="90" spans="1:38" ht="13.7" customHeight="1" x14ac:dyDescent="0.2">
      <c r="A90" s="62"/>
      <c r="B90" s="63"/>
      <c r="C90" s="64" t="s">
        <v>260</v>
      </c>
      <c r="D90" s="95" t="s">
        <v>261</v>
      </c>
      <c r="E90" s="96"/>
      <c r="F90" s="96"/>
      <c r="G90" s="96"/>
      <c r="H90" s="43">
        <v>0</v>
      </c>
      <c r="I90" s="43">
        <v>0</v>
      </c>
      <c r="J90" s="43">
        <v>0</v>
      </c>
      <c r="K90" s="35"/>
      <c r="L90" s="43">
        <v>0</v>
      </c>
      <c r="M90" s="42"/>
      <c r="N90" s="20"/>
      <c r="O90" s="34"/>
      <c r="P90" s="65"/>
      <c r="Q90" s="35" t="s">
        <v>114</v>
      </c>
      <c r="R90" s="43">
        <f>IF(Q90="HS",H90,0)</f>
        <v>0</v>
      </c>
      <c r="S90" s="43">
        <f>IF(Q90="HS",I90-P90,0)</f>
        <v>0</v>
      </c>
      <c r="T90" s="43">
        <f>IF(Q90="PS",H90,0)</f>
        <v>0</v>
      </c>
      <c r="U90" s="43">
        <f>IF(Q90="PS",I90-P90,0)</f>
        <v>0</v>
      </c>
      <c r="V90" s="43">
        <f>IF(Q90="MP",H90,0)</f>
        <v>0</v>
      </c>
      <c r="W90" s="43">
        <f>IF(Q90="MP",I90-P90,0)</f>
        <v>0</v>
      </c>
      <c r="X90" s="43">
        <f>IF(Q90="OM",H90,0)</f>
        <v>0</v>
      </c>
      <c r="Y90" s="35"/>
      <c r="Z90" s="42"/>
      <c r="AA90" s="20"/>
      <c r="AB90" s="20"/>
      <c r="AC90" s="20"/>
      <c r="AD90" s="20"/>
      <c r="AE90" s="20"/>
      <c r="AF90" s="20"/>
      <c r="AG90" s="20"/>
      <c r="AH90" s="34"/>
      <c r="AI90" s="65"/>
      <c r="AJ90" s="65"/>
      <c r="AK90" s="66"/>
      <c r="AL90" s="20"/>
    </row>
    <row r="91" spans="1:38" ht="13.7" customHeight="1" x14ac:dyDescent="0.2">
      <c r="A91" s="62"/>
      <c r="B91" s="63"/>
      <c r="C91" s="64" t="s">
        <v>262</v>
      </c>
      <c r="D91" s="95" t="s">
        <v>263</v>
      </c>
      <c r="E91" s="96"/>
      <c r="F91" s="96"/>
      <c r="G91" s="96"/>
      <c r="H91" s="43">
        <v>0</v>
      </c>
      <c r="I91" s="43">
        <v>0</v>
      </c>
      <c r="J91" s="43">
        <v>0</v>
      </c>
      <c r="K91" s="35"/>
      <c r="L91" s="43">
        <v>0</v>
      </c>
      <c r="M91" s="42"/>
      <c r="N91" s="20"/>
      <c r="O91" s="34"/>
      <c r="P91" s="65"/>
      <c r="Q91" s="35" t="s">
        <v>114</v>
      </c>
      <c r="R91" s="43">
        <f>IF(Q91="HS",H91,0)</f>
        <v>0</v>
      </c>
      <c r="S91" s="43">
        <f>IF(Q91="HS",I91-P91,0)</f>
        <v>0</v>
      </c>
      <c r="T91" s="43">
        <f>IF(Q91="PS",H91,0)</f>
        <v>0</v>
      </c>
      <c r="U91" s="43">
        <f>IF(Q91="PS",I91-P91,0)</f>
        <v>0</v>
      </c>
      <c r="V91" s="43">
        <f>IF(Q91="MP",H91,0)</f>
        <v>0</v>
      </c>
      <c r="W91" s="43">
        <f>IF(Q91="MP",I91-P91,0)</f>
        <v>0</v>
      </c>
      <c r="X91" s="43">
        <f>IF(Q91="OM",H91,0)</f>
        <v>0</v>
      </c>
      <c r="Y91" s="35"/>
      <c r="Z91" s="42"/>
      <c r="AA91" s="20"/>
      <c r="AB91" s="20"/>
      <c r="AC91" s="20"/>
      <c r="AD91" s="20"/>
      <c r="AE91" s="20"/>
      <c r="AF91" s="20"/>
      <c r="AG91" s="20"/>
      <c r="AH91" s="34"/>
      <c r="AI91" s="65"/>
      <c r="AJ91" s="65"/>
      <c r="AK91" s="66"/>
      <c r="AL91" s="20"/>
    </row>
    <row r="92" spans="1:38" ht="13.7" customHeight="1" x14ac:dyDescent="0.2">
      <c r="A92" s="50"/>
      <c r="B92" s="51"/>
      <c r="C92" s="52" t="s">
        <v>264</v>
      </c>
      <c r="D92" s="103" t="s">
        <v>265</v>
      </c>
      <c r="E92" s="104"/>
      <c r="F92" s="104"/>
      <c r="G92" s="104"/>
      <c r="H92" s="53">
        <f>SUM(H93:H96)</f>
        <v>0</v>
      </c>
      <c r="I92" s="53">
        <f>SUM(I93:I96)</f>
        <v>0</v>
      </c>
      <c r="J92" s="53">
        <f>H92+I92</f>
        <v>0</v>
      </c>
      <c r="K92" s="54"/>
      <c r="L92" s="53">
        <f>SUM(L93:L96)</f>
        <v>2.8819999999999998E-2</v>
      </c>
      <c r="M92" s="42"/>
      <c r="N92" s="20"/>
      <c r="O92" s="34"/>
      <c r="P92" s="53">
        <f>IF(Q92="PR",J92,SUM(O93:O96))</f>
        <v>0</v>
      </c>
      <c r="Q92" s="54" t="s">
        <v>114</v>
      </c>
      <c r="R92" s="53">
        <f>IF(Q92="HS",H92,0)</f>
        <v>0</v>
      </c>
      <c r="S92" s="53">
        <f>IF(Q92="HS",I92-P92,0)</f>
        <v>0</v>
      </c>
      <c r="T92" s="53">
        <f>IF(Q92="PS",H92,0)</f>
        <v>0</v>
      </c>
      <c r="U92" s="53">
        <f>IF(Q92="PS",I92-P92,0)</f>
        <v>0</v>
      </c>
      <c r="V92" s="53">
        <f>IF(Q92="MP",H92,0)</f>
        <v>0</v>
      </c>
      <c r="W92" s="53">
        <f>IF(Q92="MP",I92-P92,0)</f>
        <v>0</v>
      </c>
      <c r="X92" s="53">
        <f>IF(Q92="OM",H92,0)</f>
        <v>0</v>
      </c>
      <c r="Y92" s="54"/>
      <c r="Z92" s="42"/>
      <c r="AA92" s="20"/>
      <c r="AB92" s="20"/>
      <c r="AC92" s="20"/>
      <c r="AD92" s="20"/>
      <c r="AE92" s="20"/>
      <c r="AF92" s="20"/>
      <c r="AG92" s="20"/>
      <c r="AH92" s="34"/>
      <c r="AI92" s="53">
        <f>SUM(Z93:Z96)</f>
        <v>0</v>
      </c>
      <c r="AJ92" s="53">
        <f>SUM(AA93:AA96)</f>
        <v>0</v>
      </c>
      <c r="AK92" s="55">
        <f>SUM(AB93:AB96)</f>
        <v>0</v>
      </c>
      <c r="AL92" s="20"/>
    </row>
    <row r="93" spans="1:38" ht="13.7" customHeight="1" x14ac:dyDescent="0.2">
      <c r="A93" s="21" t="s">
        <v>266</v>
      </c>
      <c r="B93" s="21"/>
      <c r="C93" s="21" t="s">
        <v>267</v>
      </c>
      <c r="D93" s="21" t="s">
        <v>268</v>
      </c>
      <c r="E93" s="21" t="s">
        <v>91</v>
      </c>
      <c r="F93" s="48">
        <v>1</v>
      </c>
      <c r="G93" s="48">
        <v>0</v>
      </c>
      <c r="H93" s="48">
        <f>ROUND(F93*AE93,2)</f>
        <v>0</v>
      </c>
      <c r="I93" s="48">
        <f>J93-H93</f>
        <v>0</v>
      </c>
      <c r="J93" s="48">
        <f>ROUND(F93*G93,2)</f>
        <v>0</v>
      </c>
      <c r="K93" s="48">
        <v>9.8200000000000006E-3</v>
      </c>
      <c r="L93" s="48">
        <f>F93*K93</f>
        <v>9.8200000000000006E-3</v>
      </c>
      <c r="M93" s="20"/>
      <c r="N93" s="47" t="s">
        <v>47</v>
      </c>
      <c r="O93" s="48">
        <f>IF(N93="5",I93,0)</f>
        <v>0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48">
        <f>IF(AD93=0,J93,0)</f>
        <v>0</v>
      </c>
      <c r="AA93" s="48">
        <f>IF(AD93=10,J93,0)</f>
        <v>0</v>
      </c>
      <c r="AB93" s="48">
        <f>IF(AD93=20,J93,0)</f>
        <v>0</v>
      </c>
      <c r="AC93" s="20"/>
      <c r="AD93" s="48">
        <v>10</v>
      </c>
      <c r="AE93" s="48">
        <f>G93*0.224225910329453</f>
        <v>0</v>
      </c>
      <c r="AF93" s="48">
        <f>G93*(1-0.224225910329453)</f>
        <v>0</v>
      </c>
      <c r="AG93" s="20"/>
      <c r="AH93" s="20"/>
      <c r="AI93" s="20"/>
      <c r="AJ93" s="20"/>
      <c r="AK93" s="20"/>
      <c r="AL93" s="20"/>
    </row>
    <row r="94" spans="1:38" ht="13.7" customHeight="1" x14ac:dyDescent="0.2">
      <c r="A94" s="21" t="s">
        <v>269</v>
      </c>
      <c r="B94" s="21"/>
      <c r="C94" s="21" t="s">
        <v>270</v>
      </c>
      <c r="D94" s="21" t="s">
        <v>271</v>
      </c>
      <c r="E94" s="21" t="s">
        <v>91</v>
      </c>
      <c r="F94" s="48">
        <v>1</v>
      </c>
      <c r="G94" s="48">
        <v>0</v>
      </c>
      <c r="H94" s="48">
        <f>ROUND(F94*AE94,2)</f>
        <v>0</v>
      </c>
      <c r="I94" s="48">
        <f>J94-H94</f>
        <v>0</v>
      </c>
      <c r="J94" s="48">
        <f>ROUND(F94*G94,2)</f>
        <v>0</v>
      </c>
      <c r="K94" s="48">
        <v>0</v>
      </c>
      <c r="L94" s="48">
        <f>F94*K94</f>
        <v>0</v>
      </c>
      <c r="M94" s="20"/>
      <c r="N94" s="47" t="s">
        <v>47</v>
      </c>
      <c r="O94" s="48">
        <f>IF(N94="5",I94,0)</f>
        <v>0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48">
        <f>IF(AD94=0,J94,0)</f>
        <v>0</v>
      </c>
      <c r="AA94" s="48">
        <f>IF(AD94=10,J94,0)</f>
        <v>0</v>
      </c>
      <c r="AB94" s="48">
        <f>IF(AD94=20,J94,0)</f>
        <v>0</v>
      </c>
      <c r="AC94" s="20"/>
      <c r="AD94" s="48">
        <v>10</v>
      </c>
      <c r="AE94" s="48">
        <f>G94*0</f>
        <v>0</v>
      </c>
      <c r="AF94" s="48">
        <f>G94*(1-0)</f>
        <v>0</v>
      </c>
      <c r="AG94" s="20"/>
      <c r="AH94" s="20"/>
      <c r="AI94" s="20"/>
      <c r="AJ94" s="20"/>
      <c r="AK94" s="20"/>
      <c r="AL94" s="20"/>
    </row>
    <row r="95" spans="1:38" ht="13.7" customHeight="1" x14ac:dyDescent="0.2">
      <c r="A95" s="21" t="s">
        <v>272</v>
      </c>
      <c r="B95" s="21"/>
      <c r="C95" s="21" t="s">
        <v>273</v>
      </c>
      <c r="D95" s="21" t="s">
        <v>274</v>
      </c>
      <c r="E95" s="21" t="s">
        <v>91</v>
      </c>
      <c r="F95" s="48">
        <v>1</v>
      </c>
      <c r="G95" s="48">
        <v>0</v>
      </c>
      <c r="H95" s="48">
        <f>ROUND(F95*AE95,2)</f>
        <v>0</v>
      </c>
      <c r="I95" s="48">
        <f>J95-H95</f>
        <v>0</v>
      </c>
      <c r="J95" s="48">
        <f>ROUND(F95*G95,2)</f>
        <v>0</v>
      </c>
      <c r="K95" s="48">
        <v>1.9E-2</v>
      </c>
      <c r="L95" s="48">
        <f>F95*K95</f>
        <v>1.9E-2</v>
      </c>
      <c r="M95" s="20"/>
      <c r="N95" s="47" t="s">
        <v>157</v>
      </c>
      <c r="O95" s="48">
        <f>IF(N95="5",I95,0)</f>
        <v>0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48">
        <f>IF(AD95=0,J95,0)</f>
        <v>0</v>
      </c>
      <c r="AA95" s="48">
        <f>IF(AD95=10,J95,0)</f>
        <v>0</v>
      </c>
      <c r="AB95" s="48">
        <f>IF(AD95=20,J95,0)</f>
        <v>0</v>
      </c>
      <c r="AC95" s="20"/>
      <c r="AD95" s="48">
        <v>10</v>
      </c>
      <c r="AE95" s="48">
        <f>G95*1</f>
        <v>0</v>
      </c>
      <c r="AF95" s="48">
        <f>G95*(1-1)</f>
        <v>0</v>
      </c>
      <c r="AG95" s="20"/>
      <c r="AH95" s="20"/>
      <c r="AI95" s="20"/>
      <c r="AJ95" s="20"/>
      <c r="AK95" s="20"/>
      <c r="AL95" s="20"/>
    </row>
    <row r="96" spans="1:38" ht="13.7" customHeight="1" x14ac:dyDescent="0.2">
      <c r="A96" s="78" t="s">
        <v>275</v>
      </c>
      <c r="B96" s="78"/>
      <c r="C96" s="78" t="s">
        <v>276</v>
      </c>
      <c r="D96" s="78" t="s">
        <v>277</v>
      </c>
      <c r="E96" s="78" t="s">
        <v>124</v>
      </c>
      <c r="F96" s="79">
        <v>0.1</v>
      </c>
      <c r="G96" s="79">
        <v>0</v>
      </c>
      <c r="H96" s="79">
        <f>ROUND(F96*AE96,2)</f>
        <v>0</v>
      </c>
      <c r="I96" s="79">
        <f>J96-H96</f>
        <v>0</v>
      </c>
      <c r="J96" s="79">
        <f>ROUND(F96*G96,2)</f>
        <v>0</v>
      </c>
      <c r="K96" s="79">
        <v>0</v>
      </c>
      <c r="L96" s="79">
        <f>F96*K96</f>
        <v>0</v>
      </c>
      <c r="M96" s="20"/>
      <c r="N96" s="47" t="s">
        <v>125</v>
      </c>
      <c r="O96" s="48">
        <f>IF(N96="5",I96,0)</f>
        <v>0</v>
      </c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48">
        <f>IF(AD96=0,J96,0)</f>
        <v>0</v>
      </c>
      <c r="AA96" s="48">
        <f>IF(AD96=10,J96,0)</f>
        <v>0</v>
      </c>
      <c r="AB96" s="48">
        <f>IF(AD96=20,J96,0)</f>
        <v>0</v>
      </c>
      <c r="AC96" s="20"/>
      <c r="AD96" s="48">
        <v>10</v>
      </c>
      <c r="AE96" s="48">
        <f>G96*0</f>
        <v>0</v>
      </c>
      <c r="AF96" s="48">
        <f>G96*(1-0)</f>
        <v>0</v>
      </c>
      <c r="AG96" s="20"/>
      <c r="AH96" s="20"/>
      <c r="AI96" s="27"/>
      <c r="AJ96" s="27"/>
      <c r="AK96" s="27"/>
      <c r="AL96" s="20"/>
    </row>
    <row r="97" spans="1:38" ht="13.7" customHeight="1" x14ac:dyDescent="0.2">
      <c r="A97" s="62"/>
      <c r="B97" s="63"/>
      <c r="C97" s="64" t="s">
        <v>278</v>
      </c>
      <c r="D97" s="95" t="s">
        <v>279</v>
      </c>
      <c r="E97" s="96"/>
      <c r="F97" s="96"/>
      <c r="G97" s="96"/>
      <c r="H97" s="43">
        <v>0</v>
      </c>
      <c r="I97" s="43">
        <v>0</v>
      </c>
      <c r="J97" s="43">
        <v>0</v>
      </c>
      <c r="K97" s="35"/>
      <c r="L97" s="43">
        <v>0</v>
      </c>
      <c r="M97" s="42"/>
      <c r="N97" s="20"/>
      <c r="O97" s="34"/>
      <c r="P97" s="65"/>
      <c r="Q97" s="35" t="s">
        <v>114</v>
      </c>
      <c r="R97" s="43">
        <f>IF(Q97="HS",H97,0)</f>
        <v>0</v>
      </c>
      <c r="S97" s="43">
        <f>IF(Q97="HS",I97-P97,0)</f>
        <v>0</v>
      </c>
      <c r="T97" s="43">
        <f>IF(Q97="PS",H97,0)</f>
        <v>0</v>
      </c>
      <c r="U97" s="43">
        <f>IF(Q97="PS",I97-P97,0)</f>
        <v>0</v>
      </c>
      <c r="V97" s="43">
        <f>IF(Q97="MP",H97,0)</f>
        <v>0</v>
      </c>
      <c r="W97" s="43">
        <f>IF(Q97="MP",I97-P97,0)</f>
        <v>0</v>
      </c>
      <c r="X97" s="43">
        <f>IF(Q97="OM",H97,0)</f>
        <v>0</v>
      </c>
      <c r="Y97" s="35"/>
      <c r="Z97" s="42"/>
      <c r="AA97" s="20"/>
      <c r="AB97" s="20"/>
      <c r="AC97" s="20"/>
      <c r="AD97" s="20"/>
      <c r="AE97" s="20"/>
      <c r="AF97" s="20"/>
      <c r="AG97" s="20"/>
      <c r="AH97" s="34"/>
      <c r="AI97" s="65"/>
      <c r="AJ97" s="65"/>
      <c r="AK97" s="66"/>
      <c r="AL97" s="20"/>
    </row>
    <row r="98" spans="1:38" ht="13.7" customHeight="1" x14ac:dyDescent="0.2">
      <c r="A98" s="50"/>
      <c r="B98" s="51"/>
      <c r="C98" s="52" t="s">
        <v>280</v>
      </c>
      <c r="D98" s="103" t="s">
        <v>281</v>
      </c>
      <c r="E98" s="104"/>
      <c r="F98" s="104"/>
      <c r="G98" s="104"/>
      <c r="H98" s="53">
        <f>SUM(H99:H102)</f>
        <v>0</v>
      </c>
      <c r="I98" s="53">
        <f>SUM(I99:I102)</f>
        <v>0</v>
      </c>
      <c r="J98" s="53">
        <f>H98+I98</f>
        <v>0</v>
      </c>
      <c r="K98" s="54"/>
      <c r="L98" s="53">
        <f>SUM(L99:L102)</f>
        <v>0.2505</v>
      </c>
      <c r="M98" s="42"/>
      <c r="N98" s="20"/>
      <c r="O98" s="34"/>
      <c r="P98" s="53">
        <f>IF(Q98="PR",J98,SUM(O99:O102))</f>
        <v>0</v>
      </c>
      <c r="Q98" s="54" t="s">
        <v>114</v>
      </c>
      <c r="R98" s="53">
        <f>IF(Q98="HS",H98,0)</f>
        <v>0</v>
      </c>
      <c r="S98" s="53">
        <f>IF(Q98="HS",I98-P98,0)</f>
        <v>0</v>
      </c>
      <c r="T98" s="53">
        <f>IF(Q98="PS",H98,0)</f>
        <v>0</v>
      </c>
      <c r="U98" s="53">
        <f>IF(Q98="PS",I98-P98,0)</f>
        <v>0</v>
      </c>
      <c r="V98" s="53">
        <f>IF(Q98="MP",H98,0)</f>
        <v>0</v>
      </c>
      <c r="W98" s="53">
        <f>IF(Q98="MP",I98-P98,0)</f>
        <v>0</v>
      </c>
      <c r="X98" s="53">
        <f>IF(Q98="OM",H98,0)</f>
        <v>0</v>
      </c>
      <c r="Y98" s="54"/>
      <c r="Z98" s="42"/>
      <c r="AA98" s="20"/>
      <c r="AB98" s="20"/>
      <c r="AC98" s="20"/>
      <c r="AD98" s="20"/>
      <c r="AE98" s="20"/>
      <c r="AF98" s="20"/>
      <c r="AG98" s="20"/>
      <c r="AH98" s="34"/>
      <c r="AI98" s="53">
        <f>SUM(Z99:Z102)</f>
        <v>0</v>
      </c>
      <c r="AJ98" s="53">
        <f>SUM(AA99:AA102)</f>
        <v>0</v>
      </c>
      <c r="AK98" s="55">
        <f>SUM(AB99:AB102)</f>
        <v>0</v>
      </c>
      <c r="AL98" s="20"/>
    </row>
    <row r="99" spans="1:38" ht="13.7" customHeight="1" x14ac:dyDescent="0.2">
      <c r="A99" s="21" t="s">
        <v>282</v>
      </c>
      <c r="B99" s="21"/>
      <c r="C99" s="21" t="s">
        <v>283</v>
      </c>
      <c r="D99" s="21" t="s">
        <v>284</v>
      </c>
      <c r="E99" s="21" t="s">
        <v>71</v>
      </c>
      <c r="F99" s="48">
        <v>15</v>
      </c>
      <c r="G99" s="48">
        <v>0</v>
      </c>
      <c r="H99" s="48">
        <f>ROUND(F99*AE99,2)</f>
        <v>0</v>
      </c>
      <c r="I99" s="48">
        <f>J99-H99</f>
        <v>0</v>
      </c>
      <c r="J99" s="48">
        <f>ROUND(F99*G99,2)</f>
        <v>0</v>
      </c>
      <c r="K99" s="48">
        <v>2.5000000000000001E-3</v>
      </c>
      <c r="L99" s="48">
        <f>F99*K99</f>
        <v>3.7499999999999999E-2</v>
      </c>
      <c r="M99" s="20"/>
      <c r="N99" s="47" t="s">
        <v>47</v>
      </c>
      <c r="O99" s="48">
        <f>IF(N99="5",I99,0)</f>
        <v>0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48">
        <f>IF(AD99=0,J99,0)</f>
        <v>0</v>
      </c>
      <c r="AA99" s="48">
        <f>IF(AD99=10,J99,0)</f>
        <v>0</v>
      </c>
      <c r="AB99" s="48">
        <f>IF(AD99=20,J99,0)</f>
        <v>0</v>
      </c>
      <c r="AC99" s="20"/>
      <c r="AD99" s="48">
        <v>10</v>
      </c>
      <c r="AE99" s="48">
        <f>G99*0.424697933402293</f>
        <v>0</v>
      </c>
      <c r="AF99" s="48">
        <f>G99*(1-0.424697933402293)</f>
        <v>0</v>
      </c>
      <c r="AG99" s="20"/>
      <c r="AH99" s="20"/>
      <c r="AI99" s="20"/>
      <c r="AJ99" s="20"/>
      <c r="AK99" s="20"/>
      <c r="AL99" s="20"/>
    </row>
    <row r="100" spans="1:38" ht="13.7" customHeight="1" x14ac:dyDescent="0.2">
      <c r="A100" s="21" t="s">
        <v>285</v>
      </c>
      <c r="B100" s="21"/>
      <c r="C100" s="21" t="s">
        <v>286</v>
      </c>
      <c r="D100" s="21" t="s">
        <v>287</v>
      </c>
      <c r="E100" s="21" t="s">
        <v>71</v>
      </c>
      <c r="F100" s="48">
        <v>15</v>
      </c>
      <c r="G100" s="48">
        <v>0</v>
      </c>
      <c r="H100" s="48">
        <f>ROUND(F100*AE100,2)</f>
        <v>0</v>
      </c>
      <c r="I100" s="48">
        <f>J100-H100</f>
        <v>0</v>
      </c>
      <c r="J100" s="48">
        <f>ROUND(F100*G100,2)</f>
        <v>0</v>
      </c>
      <c r="K100" s="48">
        <v>1.4200000000000001E-2</v>
      </c>
      <c r="L100" s="48">
        <f>F100*K100</f>
        <v>0.21300000000000002</v>
      </c>
      <c r="M100" s="20"/>
      <c r="N100" s="47" t="s">
        <v>157</v>
      </c>
      <c r="O100" s="48">
        <f>IF(N100="5",I100,0)</f>
        <v>0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48">
        <f>IF(AD100=0,J100,0)</f>
        <v>0</v>
      </c>
      <c r="AA100" s="48">
        <f>IF(AD100=10,J100,0)</f>
        <v>0</v>
      </c>
      <c r="AB100" s="48">
        <f>IF(AD100=20,J100,0)</f>
        <v>0</v>
      </c>
      <c r="AC100" s="20"/>
      <c r="AD100" s="48">
        <v>10</v>
      </c>
      <c r="AE100" s="48">
        <f>G100*1</f>
        <v>0</v>
      </c>
      <c r="AF100" s="48">
        <f>G100*(1-1)</f>
        <v>0</v>
      </c>
      <c r="AG100" s="20"/>
      <c r="AH100" s="20"/>
      <c r="AI100" s="20"/>
      <c r="AJ100" s="20"/>
      <c r="AK100" s="20"/>
      <c r="AL100" s="20"/>
    </row>
    <row r="101" spans="1:38" ht="13.7" customHeight="1" x14ac:dyDescent="0.2">
      <c r="A101" s="21" t="s">
        <v>288</v>
      </c>
      <c r="B101" s="21"/>
      <c r="C101" s="21" t="s">
        <v>289</v>
      </c>
      <c r="D101" s="21" t="s">
        <v>290</v>
      </c>
      <c r="E101" s="21" t="s">
        <v>71</v>
      </c>
      <c r="F101" s="48">
        <v>16</v>
      </c>
      <c r="G101" s="48">
        <v>0</v>
      </c>
      <c r="H101" s="48">
        <f>ROUND(F101*AE101,2)</f>
        <v>0</v>
      </c>
      <c r="I101" s="48">
        <f>J101-H101</f>
        <v>0</v>
      </c>
      <c r="J101" s="48">
        <f>ROUND(F101*G101,2)</f>
        <v>0</v>
      </c>
      <c r="K101" s="48">
        <v>0</v>
      </c>
      <c r="L101" s="48">
        <f>F101*K101</f>
        <v>0</v>
      </c>
      <c r="M101" s="20"/>
      <c r="N101" s="47" t="s">
        <v>47</v>
      </c>
      <c r="O101" s="48">
        <f>IF(N101="5",I101,0)</f>
        <v>0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48">
        <f>IF(AD101=0,J101,0)</f>
        <v>0</v>
      </c>
      <c r="AA101" s="48">
        <f>IF(AD101=10,J101,0)</f>
        <v>0</v>
      </c>
      <c r="AB101" s="48">
        <f>IF(AD101=20,J101,0)</f>
        <v>0</v>
      </c>
      <c r="AC101" s="20"/>
      <c r="AD101" s="48">
        <v>10</v>
      </c>
      <c r="AE101" s="48">
        <f>G101*0</f>
        <v>0</v>
      </c>
      <c r="AF101" s="48">
        <f>G101*(1-0)</f>
        <v>0</v>
      </c>
      <c r="AG101" s="20"/>
      <c r="AH101" s="20"/>
      <c r="AI101" s="20"/>
      <c r="AJ101" s="20"/>
      <c r="AK101" s="20"/>
      <c r="AL101" s="20"/>
    </row>
    <row r="102" spans="1:38" ht="13.7" customHeight="1" x14ac:dyDescent="0.2">
      <c r="A102" s="78" t="s">
        <v>291</v>
      </c>
      <c r="B102" s="78"/>
      <c r="C102" s="78" t="s">
        <v>292</v>
      </c>
      <c r="D102" s="78" t="s">
        <v>293</v>
      </c>
      <c r="E102" s="78" t="s">
        <v>124</v>
      </c>
      <c r="F102" s="79">
        <v>0.1</v>
      </c>
      <c r="G102" s="79">
        <v>0</v>
      </c>
      <c r="H102" s="79">
        <f>ROUND(F102*AE102,2)</f>
        <v>0</v>
      </c>
      <c r="I102" s="79">
        <f>J102-H102</f>
        <v>0</v>
      </c>
      <c r="J102" s="79">
        <f>ROUND(F102*G102,2)</f>
        <v>0</v>
      </c>
      <c r="K102" s="79">
        <v>0</v>
      </c>
      <c r="L102" s="79">
        <f>F102*K102</f>
        <v>0</v>
      </c>
      <c r="M102" s="20"/>
      <c r="N102" s="47" t="s">
        <v>125</v>
      </c>
      <c r="O102" s="48">
        <f>IF(N102="5",I102,0)</f>
        <v>0</v>
      </c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48">
        <f>IF(AD102=0,J102,0)</f>
        <v>0</v>
      </c>
      <c r="AA102" s="48">
        <f>IF(AD102=10,J102,0)</f>
        <v>0</v>
      </c>
      <c r="AB102" s="48">
        <f>IF(AD102=20,J102,0)</f>
        <v>0</v>
      </c>
      <c r="AC102" s="20"/>
      <c r="AD102" s="48">
        <v>10</v>
      </c>
      <c r="AE102" s="48">
        <f>G102*0</f>
        <v>0</v>
      </c>
      <c r="AF102" s="48">
        <f>G102*(1-0)</f>
        <v>0</v>
      </c>
      <c r="AG102" s="20"/>
      <c r="AH102" s="20"/>
      <c r="AI102" s="27"/>
      <c r="AJ102" s="27"/>
      <c r="AK102" s="27"/>
      <c r="AL102" s="20"/>
    </row>
    <row r="103" spans="1:38" ht="13.7" customHeight="1" x14ac:dyDescent="0.2">
      <c r="A103" s="62"/>
      <c r="B103" s="63"/>
      <c r="C103" s="64" t="s">
        <v>294</v>
      </c>
      <c r="D103" s="95" t="s">
        <v>295</v>
      </c>
      <c r="E103" s="96"/>
      <c r="F103" s="96"/>
      <c r="G103" s="96"/>
      <c r="H103" s="43">
        <v>0</v>
      </c>
      <c r="I103" s="43">
        <v>0</v>
      </c>
      <c r="J103" s="43">
        <v>0</v>
      </c>
      <c r="K103" s="35"/>
      <c r="L103" s="43">
        <v>0</v>
      </c>
      <c r="M103" s="42"/>
      <c r="N103" s="20"/>
      <c r="O103" s="34"/>
      <c r="P103" s="65"/>
      <c r="Q103" s="35" t="s">
        <v>114</v>
      </c>
      <c r="R103" s="43">
        <f>IF(Q103="HS",H103,0)</f>
        <v>0</v>
      </c>
      <c r="S103" s="43">
        <f>IF(Q103="HS",I103-P103,0)</f>
        <v>0</v>
      </c>
      <c r="T103" s="43">
        <f>IF(Q103="PS",H103,0)</f>
        <v>0</v>
      </c>
      <c r="U103" s="43">
        <f>IF(Q103="PS",I103-P103,0)</f>
        <v>0</v>
      </c>
      <c r="V103" s="43">
        <f>IF(Q103="MP",H103,0)</f>
        <v>0</v>
      </c>
      <c r="W103" s="43">
        <f>IF(Q103="MP",I103-P103,0)</f>
        <v>0</v>
      </c>
      <c r="X103" s="43">
        <f>IF(Q103="OM",H103,0)</f>
        <v>0</v>
      </c>
      <c r="Y103" s="35"/>
      <c r="Z103" s="42"/>
      <c r="AA103" s="20"/>
      <c r="AB103" s="20"/>
      <c r="AC103" s="20"/>
      <c r="AD103" s="20"/>
      <c r="AE103" s="20"/>
      <c r="AF103" s="20"/>
      <c r="AG103" s="20"/>
      <c r="AH103" s="34"/>
      <c r="AI103" s="65"/>
      <c r="AJ103" s="65"/>
      <c r="AK103" s="66"/>
      <c r="AL103" s="20"/>
    </row>
    <row r="104" spans="1:38" ht="13.7" customHeight="1" x14ac:dyDescent="0.2">
      <c r="A104" s="62"/>
      <c r="B104" s="63"/>
      <c r="C104" s="64" t="s">
        <v>296</v>
      </c>
      <c r="D104" s="95" t="s">
        <v>297</v>
      </c>
      <c r="E104" s="96"/>
      <c r="F104" s="96"/>
      <c r="G104" s="96"/>
      <c r="H104" s="43">
        <f>SUM(H105:H107)</f>
        <v>0</v>
      </c>
      <c r="I104" s="43">
        <f>SUM(I105:I107)</f>
        <v>0</v>
      </c>
      <c r="J104" s="43">
        <f>H104+I104</f>
        <v>0</v>
      </c>
      <c r="K104" s="35"/>
      <c r="L104" s="43">
        <f>SUM(L105:L107)</f>
        <v>0.71499999999999997</v>
      </c>
      <c r="M104" s="42"/>
      <c r="N104" s="20"/>
      <c r="O104" s="34"/>
      <c r="P104" s="43">
        <f>IF(Q104="PR",J104,SUM(O105:O107))</f>
        <v>0</v>
      </c>
      <c r="Q104" s="35" t="s">
        <v>114</v>
      </c>
      <c r="R104" s="43">
        <f>IF(Q104="HS",H104,0)</f>
        <v>0</v>
      </c>
      <c r="S104" s="43">
        <f>IF(Q104="HS",I104-P104,0)</f>
        <v>0</v>
      </c>
      <c r="T104" s="43">
        <f>IF(Q104="PS",H104,0)</f>
        <v>0</v>
      </c>
      <c r="U104" s="43">
        <f>IF(Q104="PS",I104-P104,0)</f>
        <v>0</v>
      </c>
      <c r="V104" s="43">
        <f>IF(Q104="MP",H104,0)</f>
        <v>0</v>
      </c>
      <c r="W104" s="43">
        <f>IF(Q104="MP",I104-P104,0)</f>
        <v>0</v>
      </c>
      <c r="X104" s="43">
        <f>IF(Q104="OM",H104,0)</f>
        <v>0</v>
      </c>
      <c r="Y104" s="35"/>
      <c r="Z104" s="42"/>
      <c r="AA104" s="20"/>
      <c r="AB104" s="20"/>
      <c r="AC104" s="20"/>
      <c r="AD104" s="20"/>
      <c r="AE104" s="20"/>
      <c r="AF104" s="20"/>
      <c r="AG104" s="20"/>
      <c r="AH104" s="34"/>
      <c r="AI104" s="43">
        <f>SUM(Z105:Z107)</f>
        <v>0</v>
      </c>
      <c r="AJ104" s="43">
        <f>SUM(AA105:AA107)</f>
        <v>0</v>
      </c>
      <c r="AK104" s="44">
        <f>SUM(AB105:AB107)</f>
        <v>0</v>
      </c>
      <c r="AL104" s="20"/>
    </row>
    <row r="105" spans="1:38" ht="13.7" customHeight="1" x14ac:dyDescent="0.2">
      <c r="A105" s="67" t="s">
        <v>298</v>
      </c>
      <c r="B105" s="67"/>
      <c r="C105" s="67" t="s">
        <v>299</v>
      </c>
      <c r="D105" s="67" t="s">
        <v>300</v>
      </c>
      <c r="E105" s="67" t="s">
        <v>71</v>
      </c>
      <c r="F105" s="68">
        <v>50</v>
      </c>
      <c r="G105" s="68">
        <v>0</v>
      </c>
      <c r="H105" s="68">
        <f>ROUND(F105*AE105,2)</f>
        <v>0</v>
      </c>
      <c r="I105" s="68">
        <f>J105-H105</f>
        <v>0</v>
      </c>
      <c r="J105" s="68">
        <f>ROUND(F105*G105,2)</f>
        <v>0</v>
      </c>
      <c r="K105" s="68">
        <v>2.0999999999999999E-3</v>
      </c>
      <c r="L105" s="68">
        <f>F105*K105</f>
        <v>0.105</v>
      </c>
      <c r="M105" s="20"/>
      <c r="N105" s="47" t="s">
        <v>47</v>
      </c>
      <c r="O105" s="48">
        <f>IF(N105="5",I105,0)</f>
        <v>0</v>
      </c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48">
        <f>IF(AD105=0,J105,0)</f>
        <v>0</v>
      </c>
      <c r="AA105" s="48">
        <f>IF(AD105=10,J105,0)</f>
        <v>0</v>
      </c>
      <c r="AB105" s="48">
        <f>IF(AD105=20,J105,0)</f>
        <v>0</v>
      </c>
      <c r="AC105" s="20"/>
      <c r="AD105" s="48">
        <v>10</v>
      </c>
      <c r="AE105" s="48">
        <f>G105*0.295949119373777</f>
        <v>0</v>
      </c>
      <c r="AF105" s="48">
        <f>G105*(1-0.295949119373777)</f>
        <v>0</v>
      </c>
      <c r="AG105" s="20"/>
      <c r="AH105" s="20"/>
      <c r="AI105" s="69"/>
      <c r="AJ105" s="69"/>
      <c r="AK105" s="69"/>
      <c r="AL105" s="20"/>
    </row>
    <row r="106" spans="1:38" ht="13.7" customHeight="1" x14ac:dyDescent="0.2">
      <c r="A106" s="21" t="s">
        <v>301</v>
      </c>
      <c r="B106" s="21"/>
      <c r="C106" s="21" t="s">
        <v>302</v>
      </c>
      <c r="D106" s="21" t="s">
        <v>303</v>
      </c>
      <c r="E106" s="21" t="s">
        <v>71</v>
      </c>
      <c r="F106" s="48">
        <v>50</v>
      </c>
      <c r="G106" s="48">
        <v>0</v>
      </c>
      <c r="H106" s="48">
        <f>ROUND(F106*AE106,2)</f>
        <v>0</v>
      </c>
      <c r="I106" s="48">
        <f>J106-H106</f>
        <v>0</v>
      </c>
      <c r="J106" s="48">
        <f>ROUND(F106*G106,2)</f>
        <v>0</v>
      </c>
      <c r="K106" s="48">
        <v>1.2200000000000001E-2</v>
      </c>
      <c r="L106" s="48">
        <f>F106*K106</f>
        <v>0.61</v>
      </c>
      <c r="M106" s="20"/>
      <c r="N106" s="47" t="s">
        <v>157</v>
      </c>
      <c r="O106" s="48">
        <f>IF(N106="5",I106,0)</f>
        <v>0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48">
        <f>IF(AD106=0,J106,0)</f>
        <v>0</v>
      </c>
      <c r="AA106" s="48">
        <f>IF(AD106=10,J106,0)</f>
        <v>0</v>
      </c>
      <c r="AB106" s="48">
        <f>IF(AD106=20,J106,0)</f>
        <v>0</v>
      </c>
      <c r="AC106" s="20"/>
      <c r="AD106" s="48">
        <v>10</v>
      </c>
      <c r="AE106" s="48">
        <f>G106*1</f>
        <v>0</v>
      </c>
      <c r="AF106" s="48">
        <f>G106*(1-1)</f>
        <v>0</v>
      </c>
      <c r="AG106" s="20"/>
      <c r="AH106" s="20"/>
      <c r="AI106" s="20"/>
      <c r="AJ106" s="20"/>
      <c r="AK106" s="20"/>
      <c r="AL106" s="20"/>
    </row>
    <row r="107" spans="1:38" ht="13.7" customHeight="1" x14ac:dyDescent="0.2">
      <c r="A107" s="78" t="s">
        <v>304</v>
      </c>
      <c r="B107" s="78"/>
      <c r="C107" s="78" t="s">
        <v>305</v>
      </c>
      <c r="D107" s="78" t="s">
        <v>306</v>
      </c>
      <c r="E107" s="78" t="s">
        <v>124</v>
      </c>
      <c r="F107" s="79">
        <v>0.2</v>
      </c>
      <c r="G107" s="79">
        <v>0</v>
      </c>
      <c r="H107" s="79">
        <f>ROUND(F107*AE107,2)</f>
        <v>0</v>
      </c>
      <c r="I107" s="79">
        <f>J107-H107</f>
        <v>0</v>
      </c>
      <c r="J107" s="79">
        <f>ROUND(F107*G107,2)</f>
        <v>0</v>
      </c>
      <c r="K107" s="79">
        <v>0</v>
      </c>
      <c r="L107" s="79">
        <f>F107*K107</f>
        <v>0</v>
      </c>
      <c r="M107" s="20"/>
      <c r="N107" s="47" t="s">
        <v>125</v>
      </c>
      <c r="O107" s="48">
        <f>IF(N107="5",I107,0)</f>
        <v>0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48">
        <f>IF(AD107=0,J107,0)</f>
        <v>0</v>
      </c>
      <c r="AA107" s="48">
        <f>IF(AD107=10,J107,0)</f>
        <v>0</v>
      </c>
      <c r="AB107" s="48">
        <f>IF(AD107=20,J107,0)</f>
        <v>0</v>
      </c>
      <c r="AC107" s="20"/>
      <c r="AD107" s="48">
        <v>10</v>
      </c>
      <c r="AE107" s="48">
        <f>G107*0</f>
        <v>0</v>
      </c>
      <c r="AF107" s="48">
        <f>G107*(1-0)</f>
        <v>0</v>
      </c>
      <c r="AG107" s="20"/>
      <c r="AH107" s="20"/>
      <c r="AI107" s="27"/>
      <c r="AJ107" s="27"/>
      <c r="AK107" s="27"/>
      <c r="AL107" s="20"/>
    </row>
    <row r="108" spans="1:38" ht="13.7" customHeight="1" x14ac:dyDescent="0.2">
      <c r="A108" s="62"/>
      <c r="B108" s="63"/>
      <c r="C108" s="64" t="s">
        <v>307</v>
      </c>
      <c r="D108" s="95" t="s">
        <v>308</v>
      </c>
      <c r="E108" s="96"/>
      <c r="F108" s="96"/>
      <c r="G108" s="96"/>
      <c r="H108" s="43">
        <v>0</v>
      </c>
      <c r="I108" s="43">
        <v>0</v>
      </c>
      <c r="J108" s="43">
        <f>H108+I108</f>
        <v>0</v>
      </c>
      <c r="K108" s="35"/>
      <c r="L108" s="43">
        <v>0</v>
      </c>
      <c r="M108" s="42"/>
      <c r="N108" s="20"/>
      <c r="O108" s="34"/>
      <c r="P108" s="65"/>
      <c r="Q108" s="35" t="s">
        <v>114</v>
      </c>
      <c r="R108" s="43">
        <f>IF(Q108="HS",H108,0)</f>
        <v>0</v>
      </c>
      <c r="S108" s="43">
        <f>IF(Q108="HS",I108-P108,0)</f>
        <v>0</v>
      </c>
      <c r="T108" s="43">
        <f>IF(Q108="PS",H108,0)</f>
        <v>0</v>
      </c>
      <c r="U108" s="43">
        <f>IF(Q108="PS",I108-P108,0)</f>
        <v>0</v>
      </c>
      <c r="V108" s="43">
        <f>IF(Q108="MP",H108,0)</f>
        <v>0</v>
      </c>
      <c r="W108" s="43">
        <f>IF(Q108="MP",I108-P108,0)</f>
        <v>0</v>
      </c>
      <c r="X108" s="43">
        <f>IF(Q108="OM",H108,0)</f>
        <v>0</v>
      </c>
      <c r="Y108" s="35"/>
      <c r="Z108" s="42"/>
      <c r="AA108" s="20"/>
      <c r="AB108" s="20"/>
      <c r="AC108" s="20"/>
      <c r="AD108" s="20"/>
      <c r="AE108" s="20"/>
      <c r="AF108" s="20"/>
      <c r="AG108" s="20"/>
      <c r="AH108" s="34"/>
      <c r="AI108" s="65"/>
      <c r="AJ108" s="65"/>
      <c r="AK108" s="66"/>
      <c r="AL108" s="20"/>
    </row>
    <row r="109" spans="1:38" ht="13.7" customHeight="1" x14ac:dyDescent="0.2">
      <c r="A109" s="62"/>
      <c r="B109" s="63"/>
      <c r="C109" s="64" t="s">
        <v>309</v>
      </c>
      <c r="D109" s="95" t="s">
        <v>310</v>
      </c>
      <c r="E109" s="96"/>
      <c r="F109" s="96"/>
      <c r="G109" s="96"/>
      <c r="H109" s="43">
        <f>SUM(H110:H110)</f>
        <v>0</v>
      </c>
      <c r="I109" s="43">
        <f>SUM(I110:I110)</f>
        <v>0</v>
      </c>
      <c r="J109" s="43">
        <f>H109+I109</f>
        <v>0</v>
      </c>
      <c r="K109" s="35"/>
      <c r="L109" s="43">
        <f>SUM(L110:L110)</f>
        <v>6.6E-3</v>
      </c>
      <c r="M109" s="42"/>
      <c r="N109" s="20"/>
      <c r="O109" s="34"/>
      <c r="P109" s="43">
        <f>IF(Q109="PR",J109,SUM(O110:O110))</f>
        <v>0</v>
      </c>
      <c r="Q109" s="35" t="s">
        <v>114</v>
      </c>
      <c r="R109" s="43">
        <f>IF(Q109="HS",H109,0)</f>
        <v>0</v>
      </c>
      <c r="S109" s="43">
        <f>IF(Q109="HS",I109-P109,0)</f>
        <v>0</v>
      </c>
      <c r="T109" s="43">
        <f>IF(Q109="PS",H109,0)</f>
        <v>0</v>
      </c>
      <c r="U109" s="43">
        <f>IF(Q109="PS",I109-P109,0)</f>
        <v>0</v>
      </c>
      <c r="V109" s="43">
        <f>IF(Q109="MP",H109,0)</f>
        <v>0</v>
      </c>
      <c r="W109" s="43">
        <f>IF(Q109="MP",I109-P109,0)</f>
        <v>0</v>
      </c>
      <c r="X109" s="43">
        <f>IF(Q109="OM",H109,0)</f>
        <v>0</v>
      </c>
      <c r="Y109" s="35"/>
      <c r="Z109" s="42"/>
      <c r="AA109" s="20"/>
      <c r="AB109" s="20"/>
      <c r="AC109" s="20"/>
      <c r="AD109" s="20"/>
      <c r="AE109" s="20"/>
      <c r="AF109" s="20"/>
      <c r="AG109" s="20"/>
      <c r="AH109" s="34"/>
      <c r="AI109" s="43">
        <f>SUM(Z110:Z110)</f>
        <v>0</v>
      </c>
      <c r="AJ109" s="43">
        <f>SUM(AA110:AA110)</f>
        <v>0</v>
      </c>
      <c r="AK109" s="44">
        <f>SUM(AB110:AB110)</f>
        <v>0</v>
      </c>
      <c r="AL109" s="20"/>
    </row>
    <row r="110" spans="1:38" ht="13.7" customHeight="1" x14ac:dyDescent="0.2">
      <c r="A110" s="45" t="s">
        <v>311</v>
      </c>
      <c r="B110" s="45"/>
      <c r="C110" s="45" t="s">
        <v>312</v>
      </c>
      <c r="D110" s="45" t="s">
        <v>313</v>
      </c>
      <c r="E110" s="45" t="s">
        <v>71</v>
      </c>
      <c r="F110" s="46">
        <v>20</v>
      </c>
      <c r="G110" s="46">
        <v>0</v>
      </c>
      <c r="H110" s="46">
        <f>ROUND(F110*AE110,2)</f>
        <v>0</v>
      </c>
      <c r="I110" s="46">
        <f>J110-H110</f>
        <v>0</v>
      </c>
      <c r="J110" s="46">
        <f>ROUND(F110*G110,2)</f>
        <v>0</v>
      </c>
      <c r="K110" s="46">
        <v>3.3E-4</v>
      </c>
      <c r="L110" s="46">
        <f>F110*K110</f>
        <v>6.6E-3</v>
      </c>
      <c r="M110" s="20"/>
      <c r="N110" s="47" t="s">
        <v>82</v>
      </c>
      <c r="O110" s="48">
        <f>IF(N110="5",I110,0)</f>
        <v>0</v>
      </c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8">
        <f>IF(AD110=0,J110,0)</f>
        <v>0</v>
      </c>
      <c r="AA110" s="48">
        <f>IF(AD110=10,J110,0)</f>
        <v>0</v>
      </c>
      <c r="AB110" s="48">
        <f>IF(AD110=20,J110,0)</f>
        <v>0</v>
      </c>
      <c r="AC110" s="20"/>
      <c r="AD110" s="48">
        <v>10</v>
      </c>
      <c r="AE110" s="48">
        <f>G110*0.426092160383004</f>
        <v>0</v>
      </c>
      <c r="AF110" s="48">
        <f>G110*(1-0.426092160383004)</f>
        <v>0</v>
      </c>
      <c r="AG110" s="20"/>
      <c r="AH110" s="20"/>
      <c r="AI110" s="49"/>
      <c r="AJ110" s="49"/>
      <c r="AK110" s="49"/>
      <c r="AL110" s="20"/>
    </row>
    <row r="111" spans="1:38" ht="13.7" customHeight="1" x14ac:dyDescent="0.2">
      <c r="A111" s="62"/>
      <c r="B111" s="63"/>
      <c r="C111" s="64" t="s">
        <v>314</v>
      </c>
      <c r="D111" s="95" t="s">
        <v>315</v>
      </c>
      <c r="E111" s="96"/>
      <c r="F111" s="96"/>
      <c r="G111" s="96"/>
      <c r="H111" s="43">
        <v>0</v>
      </c>
      <c r="I111" s="43">
        <v>0</v>
      </c>
      <c r="J111" s="43">
        <v>0</v>
      </c>
      <c r="K111" s="35"/>
      <c r="L111" s="43">
        <v>0</v>
      </c>
      <c r="M111" s="42"/>
      <c r="N111" s="20"/>
      <c r="O111" s="34"/>
      <c r="P111" s="65"/>
      <c r="Q111" s="35" t="s">
        <v>46</v>
      </c>
      <c r="R111" s="43">
        <f>IF(Q111="HS",H111,0)</f>
        <v>0</v>
      </c>
      <c r="S111" s="43">
        <f>IF(Q111="HS",I111-P111,0)</f>
        <v>0</v>
      </c>
      <c r="T111" s="43">
        <f>IF(Q111="PS",H111,0)</f>
        <v>0</v>
      </c>
      <c r="U111" s="43">
        <f>IF(Q111="PS",I111-P111,0)</f>
        <v>0</v>
      </c>
      <c r="V111" s="43">
        <f>IF(Q111="MP",H111,0)</f>
        <v>0</v>
      </c>
      <c r="W111" s="43">
        <f>IF(Q111="MP",I111-P111,0)</f>
        <v>0</v>
      </c>
      <c r="X111" s="43">
        <f>IF(Q111="OM",H111,0)</f>
        <v>0</v>
      </c>
      <c r="Y111" s="35"/>
      <c r="Z111" s="42"/>
      <c r="AA111" s="20"/>
      <c r="AB111" s="20"/>
      <c r="AC111" s="20"/>
      <c r="AD111" s="20"/>
      <c r="AE111" s="20"/>
      <c r="AF111" s="20"/>
      <c r="AG111" s="20"/>
      <c r="AH111" s="34"/>
      <c r="AI111" s="65"/>
      <c r="AJ111" s="65"/>
      <c r="AK111" s="66"/>
      <c r="AL111" s="20"/>
    </row>
    <row r="112" spans="1:38" ht="13.7" customHeight="1" x14ac:dyDescent="0.2">
      <c r="A112" s="62"/>
      <c r="B112" s="63"/>
      <c r="C112" s="64" t="s">
        <v>316</v>
      </c>
      <c r="D112" s="95" t="s">
        <v>317</v>
      </c>
      <c r="E112" s="96"/>
      <c r="F112" s="96"/>
      <c r="G112" s="96"/>
      <c r="H112" s="43">
        <f>SUM(H113:H113)</f>
        <v>0</v>
      </c>
      <c r="I112" s="43">
        <f>SUM(I113:I113)</f>
        <v>0</v>
      </c>
      <c r="J112" s="43">
        <f>H112+I112</f>
        <v>0</v>
      </c>
      <c r="K112" s="35"/>
      <c r="L112" s="43">
        <f>SUM(L113:L113)</f>
        <v>0</v>
      </c>
      <c r="M112" s="42"/>
      <c r="N112" s="20"/>
      <c r="O112" s="34"/>
      <c r="P112" s="43">
        <f>IF(Q112="PR",J112,SUM(O113:O113))</f>
        <v>0</v>
      </c>
      <c r="Q112" s="35" t="s">
        <v>318</v>
      </c>
      <c r="R112" s="43">
        <f>IF(Q112="HS",H112,0)</f>
        <v>0</v>
      </c>
      <c r="S112" s="43">
        <f>IF(Q112="HS",I112-P112,0)</f>
        <v>0</v>
      </c>
      <c r="T112" s="43">
        <f>IF(Q112="PS",H112,0)</f>
        <v>0</v>
      </c>
      <c r="U112" s="43">
        <f>IF(Q112="PS",I112-P112,0)</f>
        <v>0</v>
      </c>
      <c r="V112" s="43">
        <f>IF(Q112="MP",H112,0)</f>
        <v>0</v>
      </c>
      <c r="W112" s="43">
        <f>IF(Q112="MP",I112-P112,0)</f>
        <v>0</v>
      </c>
      <c r="X112" s="43">
        <f>IF(Q112="OM",H112,0)</f>
        <v>0</v>
      </c>
      <c r="Y112" s="35"/>
      <c r="Z112" s="42"/>
      <c r="AA112" s="20"/>
      <c r="AB112" s="20"/>
      <c r="AC112" s="20"/>
      <c r="AD112" s="20"/>
      <c r="AE112" s="20"/>
      <c r="AF112" s="20"/>
      <c r="AG112" s="20"/>
      <c r="AH112" s="34"/>
      <c r="AI112" s="43">
        <f>SUM(Z113:Z113)</f>
        <v>0</v>
      </c>
      <c r="AJ112" s="43">
        <f>SUM(AA113:AA113)</f>
        <v>0</v>
      </c>
      <c r="AK112" s="44">
        <f>SUM(AB113:AB113)</f>
        <v>0</v>
      </c>
      <c r="AL112" s="20"/>
    </row>
    <row r="113" spans="1:38" ht="13.7" customHeight="1" x14ac:dyDescent="0.2">
      <c r="A113" s="45" t="s">
        <v>319</v>
      </c>
      <c r="B113" s="45"/>
      <c r="C113" s="45" t="s">
        <v>320</v>
      </c>
      <c r="D113" s="45" t="s">
        <v>321</v>
      </c>
      <c r="E113" s="45" t="s">
        <v>124</v>
      </c>
      <c r="F113" s="46">
        <v>1</v>
      </c>
      <c r="G113" s="46">
        <v>0</v>
      </c>
      <c r="H113" s="46">
        <f>ROUND(F113*AE113,2)</f>
        <v>0</v>
      </c>
      <c r="I113" s="46">
        <f>J113-H113</f>
        <v>0</v>
      </c>
      <c r="J113" s="46">
        <f>ROUND(F113*G113,2)</f>
        <v>0</v>
      </c>
      <c r="K113" s="46">
        <v>0</v>
      </c>
      <c r="L113" s="46">
        <f>F113*K113</f>
        <v>0</v>
      </c>
      <c r="M113" s="20"/>
      <c r="N113" s="47" t="s">
        <v>125</v>
      </c>
      <c r="O113" s="48">
        <f>IF(N113="5",I113,0)</f>
        <v>0</v>
      </c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8">
        <f>IF(AD113=0,J113,0)</f>
        <v>0</v>
      </c>
      <c r="AA113" s="48">
        <f>IF(AD113=10,J113,0)</f>
        <v>0</v>
      </c>
      <c r="AB113" s="48">
        <f>IF(AD113=20,J113,0)</f>
        <v>0</v>
      </c>
      <c r="AC113" s="20"/>
      <c r="AD113" s="48">
        <v>10</v>
      </c>
      <c r="AE113" s="48">
        <f>G113*0</f>
        <v>0</v>
      </c>
      <c r="AF113" s="48">
        <f>G113*(1-0)</f>
        <v>0</v>
      </c>
      <c r="AG113" s="20"/>
      <c r="AH113" s="20"/>
      <c r="AI113" s="49"/>
      <c r="AJ113" s="49"/>
      <c r="AK113" s="49"/>
      <c r="AL113" s="20"/>
    </row>
    <row r="114" spans="1:38" ht="13.7" customHeight="1" x14ac:dyDescent="0.2">
      <c r="A114" s="62"/>
      <c r="B114" s="63"/>
      <c r="C114" s="64" t="s">
        <v>322</v>
      </c>
      <c r="D114" s="95" t="s">
        <v>323</v>
      </c>
      <c r="E114" s="96"/>
      <c r="F114" s="96"/>
      <c r="G114" s="96"/>
      <c r="H114" s="43">
        <f>SUM(H115:H120)</f>
        <v>0</v>
      </c>
      <c r="I114" s="43">
        <f>SUM(I115:I120)</f>
        <v>0</v>
      </c>
      <c r="J114" s="43">
        <f>H114+I114</f>
        <v>0</v>
      </c>
      <c r="K114" s="35"/>
      <c r="L114" s="43">
        <f>SUM(L115:L120)</f>
        <v>1.133E-2</v>
      </c>
      <c r="M114" s="42"/>
      <c r="N114" s="20"/>
      <c r="O114" s="34"/>
      <c r="P114" s="43">
        <f>IF(Q114="PR",J114,SUM(O115:O120))</f>
        <v>0</v>
      </c>
      <c r="Q114" s="35" t="s">
        <v>324</v>
      </c>
      <c r="R114" s="43">
        <f>IF(Q114="HS",H114,0)</f>
        <v>0</v>
      </c>
      <c r="S114" s="43">
        <f>IF(Q114="HS",I114-P114,0)</f>
        <v>0</v>
      </c>
      <c r="T114" s="43">
        <f>IF(Q114="PS",H114,0)</f>
        <v>0</v>
      </c>
      <c r="U114" s="43">
        <f>IF(Q114="PS",I114-P114,0)</f>
        <v>0</v>
      </c>
      <c r="V114" s="43">
        <f>IF(Q114="MP",H114,0)</f>
        <v>0</v>
      </c>
      <c r="W114" s="43">
        <f>IF(Q114="MP",I114-P114,0)</f>
        <v>0</v>
      </c>
      <c r="X114" s="43">
        <f>IF(Q114="OM",H114,0)</f>
        <v>0</v>
      </c>
      <c r="Y114" s="35"/>
      <c r="Z114" s="42"/>
      <c r="AA114" s="20"/>
      <c r="AB114" s="20"/>
      <c r="AC114" s="20"/>
      <c r="AD114" s="20"/>
      <c r="AE114" s="20"/>
      <c r="AF114" s="20"/>
      <c r="AG114" s="20"/>
      <c r="AH114" s="34"/>
      <c r="AI114" s="43">
        <f>SUM(Z115:Z120)</f>
        <v>0</v>
      </c>
      <c r="AJ114" s="43">
        <f>SUM(AA115:AA120)</f>
        <v>0</v>
      </c>
      <c r="AK114" s="44">
        <f>SUM(AB115:AB120)</f>
        <v>0</v>
      </c>
      <c r="AL114" s="20"/>
    </row>
    <row r="115" spans="1:38" ht="13.7" customHeight="1" x14ac:dyDescent="0.2">
      <c r="A115" s="67" t="s">
        <v>325</v>
      </c>
      <c r="B115" s="67"/>
      <c r="C115" s="67" t="s">
        <v>326</v>
      </c>
      <c r="D115" s="67" t="s">
        <v>327</v>
      </c>
      <c r="E115" s="67" t="s">
        <v>91</v>
      </c>
      <c r="F115" s="68">
        <v>2</v>
      </c>
      <c r="G115" s="68">
        <v>0</v>
      </c>
      <c r="H115" s="68">
        <f t="shared" ref="H115:H120" si="24">ROUND(F115*AE115,2)</f>
        <v>0</v>
      </c>
      <c r="I115" s="68">
        <f t="shared" ref="I115:I120" si="25">J115-H115</f>
        <v>0</v>
      </c>
      <c r="J115" s="68">
        <f t="shared" ref="J115:J120" si="26">ROUND(F115*G115,2)</f>
        <v>0</v>
      </c>
      <c r="K115" s="68">
        <v>4.0000000000000003E-5</v>
      </c>
      <c r="L115" s="68">
        <f t="shared" ref="L115:L120" si="27">F115*K115</f>
        <v>8.0000000000000007E-5</v>
      </c>
      <c r="M115" s="20"/>
      <c r="N115" s="47" t="s">
        <v>328</v>
      </c>
      <c r="O115" s="48">
        <f t="shared" ref="O115:O120" si="28">IF(N115="5",I115,0)</f>
        <v>0</v>
      </c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48">
        <f t="shared" ref="Z115:Z120" si="29">IF(AD115=0,J115,0)</f>
        <v>0</v>
      </c>
      <c r="AA115" s="48">
        <f t="shared" ref="AA115:AA120" si="30">IF(AD115=10,J115,0)</f>
        <v>0</v>
      </c>
      <c r="AB115" s="48">
        <f t="shared" ref="AB115:AB120" si="31">IF(AD115=20,J115,0)</f>
        <v>0</v>
      </c>
      <c r="AC115" s="20"/>
      <c r="AD115" s="48">
        <v>10</v>
      </c>
      <c r="AE115" s="48">
        <f>G115*0.459429703842343</f>
        <v>0</v>
      </c>
      <c r="AF115" s="48">
        <f>G115*(1-0.459429703842343)</f>
        <v>0</v>
      </c>
      <c r="AG115" s="20"/>
      <c r="AH115" s="20"/>
      <c r="AI115" s="69"/>
      <c r="AJ115" s="69"/>
      <c r="AK115" s="69"/>
      <c r="AL115" s="20"/>
    </row>
    <row r="116" spans="1:38" ht="13.7" customHeight="1" x14ac:dyDescent="0.2">
      <c r="A116" s="21" t="s">
        <v>329</v>
      </c>
      <c r="B116" s="21"/>
      <c r="C116" s="21" t="s">
        <v>330</v>
      </c>
      <c r="D116" s="21" t="s">
        <v>331</v>
      </c>
      <c r="E116" s="21" t="s">
        <v>91</v>
      </c>
      <c r="F116" s="48">
        <v>3</v>
      </c>
      <c r="G116" s="48">
        <v>0</v>
      </c>
      <c r="H116" s="48">
        <f t="shared" si="24"/>
        <v>0</v>
      </c>
      <c r="I116" s="48">
        <f t="shared" si="25"/>
        <v>0</v>
      </c>
      <c r="J116" s="48">
        <f t="shared" si="26"/>
        <v>0</v>
      </c>
      <c r="K116" s="48">
        <v>0</v>
      </c>
      <c r="L116" s="48">
        <f t="shared" si="27"/>
        <v>0</v>
      </c>
      <c r="M116" s="20"/>
      <c r="N116" s="47" t="s">
        <v>328</v>
      </c>
      <c r="O116" s="48">
        <f t="shared" si="28"/>
        <v>0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48">
        <f t="shared" si="29"/>
        <v>0</v>
      </c>
      <c r="AA116" s="48">
        <f t="shared" si="30"/>
        <v>0</v>
      </c>
      <c r="AB116" s="48">
        <f t="shared" si="31"/>
        <v>0</v>
      </c>
      <c r="AC116" s="20"/>
      <c r="AD116" s="48">
        <v>10</v>
      </c>
      <c r="AE116" s="48">
        <f>G116*0</f>
        <v>0</v>
      </c>
      <c r="AF116" s="48">
        <f>G116*(1-0)</f>
        <v>0</v>
      </c>
      <c r="AG116" s="20"/>
      <c r="AH116" s="20"/>
      <c r="AI116" s="20"/>
      <c r="AJ116" s="20"/>
      <c r="AK116" s="20"/>
      <c r="AL116" s="20"/>
    </row>
    <row r="117" spans="1:38" ht="13.7" customHeight="1" x14ac:dyDescent="0.2">
      <c r="A117" s="21" t="s">
        <v>332</v>
      </c>
      <c r="B117" s="21"/>
      <c r="C117" s="21" t="s">
        <v>333</v>
      </c>
      <c r="D117" s="21" t="s">
        <v>334</v>
      </c>
      <c r="E117" s="21" t="s">
        <v>91</v>
      </c>
      <c r="F117" s="48">
        <v>2</v>
      </c>
      <c r="G117" s="48">
        <v>0</v>
      </c>
      <c r="H117" s="48">
        <f t="shared" si="24"/>
        <v>0</v>
      </c>
      <c r="I117" s="48">
        <f t="shared" si="25"/>
        <v>0</v>
      </c>
      <c r="J117" s="48">
        <f t="shared" si="26"/>
        <v>0</v>
      </c>
      <c r="K117" s="48">
        <v>0</v>
      </c>
      <c r="L117" s="48">
        <f t="shared" si="27"/>
        <v>0</v>
      </c>
      <c r="M117" s="20"/>
      <c r="N117" s="47" t="s">
        <v>328</v>
      </c>
      <c r="O117" s="48">
        <f t="shared" si="28"/>
        <v>0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48">
        <f t="shared" si="29"/>
        <v>0</v>
      </c>
      <c r="AA117" s="48">
        <f t="shared" si="30"/>
        <v>0</v>
      </c>
      <c r="AB117" s="48">
        <f t="shared" si="31"/>
        <v>0</v>
      </c>
      <c r="AC117" s="20"/>
      <c r="AD117" s="48">
        <v>10</v>
      </c>
      <c r="AE117" s="48">
        <f>G117*0.847522268647609</f>
        <v>0</v>
      </c>
      <c r="AF117" s="48">
        <f>G117*(1-0.847522268647609)</f>
        <v>0</v>
      </c>
      <c r="AG117" s="20"/>
      <c r="AH117" s="20"/>
      <c r="AI117" s="20"/>
      <c r="AJ117" s="20"/>
      <c r="AK117" s="20"/>
      <c r="AL117" s="20"/>
    </row>
    <row r="118" spans="1:38" ht="13.7" customHeight="1" x14ac:dyDescent="0.2">
      <c r="A118" s="21" t="s">
        <v>335</v>
      </c>
      <c r="B118" s="21"/>
      <c r="C118" s="21" t="s">
        <v>336</v>
      </c>
      <c r="D118" s="21" t="s">
        <v>337</v>
      </c>
      <c r="E118" s="21" t="s">
        <v>133</v>
      </c>
      <c r="F118" s="48">
        <v>25</v>
      </c>
      <c r="G118" s="48">
        <v>0</v>
      </c>
      <c r="H118" s="48">
        <f t="shared" si="24"/>
        <v>0</v>
      </c>
      <c r="I118" s="48">
        <f t="shared" si="25"/>
        <v>0</v>
      </c>
      <c r="J118" s="48">
        <f t="shared" si="26"/>
        <v>0</v>
      </c>
      <c r="K118" s="48">
        <v>2.3000000000000001E-4</v>
      </c>
      <c r="L118" s="48">
        <f t="shared" si="27"/>
        <v>5.7499999999999999E-3</v>
      </c>
      <c r="M118" s="20"/>
      <c r="N118" s="47" t="s">
        <v>328</v>
      </c>
      <c r="O118" s="48">
        <f t="shared" si="28"/>
        <v>0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48">
        <f t="shared" si="29"/>
        <v>0</v>
      </c>
      <c r="AA118" s="48">
        <f t="shared" si="30"/>
        <v>0</v>
      </c>
      <c r="AB118" s="48">
        <f t="shared" si="31"/>
        <v>0</v>
      </c>
      <c r="AC118" s="20"/>
      <c r="AD118" s="48">
        <v>10</v>
      </c>
      <c r="AE118" s="48">
        <f>G118*0.409977209420106</f>
        <v>0</v>
      </c>
      <c r="AF118" s="48">
        <f>G118*(1-0.409977209420106)</f>
        <v>0</v>
      </c>
      <c r="AG118" s="20"/>
      <c r="AH118" s="20"/>
      <c r="AI118" s="20"/>
      <c r="AJ118" s="20"/>
      <c r="AK118" s="20"/>
      <c r="AL118" s="20"/>
    </row>
    <row r="119" spans="1:38" ht="13.7" customHeight="1" x14ac:dyDescent="0.2">
      <c r="A119" s="21" t="s">
        <v>338</v>
      </c>
      <c r="B119" s="21"/>
      <c r="C119" s="21" t="s">
        <v>339</v>
      </c>
      <c r="D119" s="21" t="s">
        <v>340</v>
      </c>
      <c r="E119" s="21" t="s">
        <v>133</v>
      </c>
      <c r="F119" s="48">
        <v>25</v>
      </c>
      <c r="G119" s="48">
        <v>0</v>
      </c>
      <c r="H119" s="48">
        <f t="shared" si="24"/>
        <v>0</v>
      </c>
      <c r="I119" s="48">
        <f t="shared" si="25"/>
        <v>0</v>
      </c>
      <c r="J119" s="48">
        <f t="shared" si="26"/>
        <v>0</v>
      </c>
      <c r="K119" s="48">
        <v>2.2000000000000001E-4</v>
      </c>
      <c r="L119" s="48">
        <f t="shared" si="27"/>
        <v>5.5000000000000005E-3</v>
      </c>
      <c r="M119" s="20"/>
      <c r="N119" s="47" t="s">
        <v>328</v>
      </c>
      <c r="O119" s="48">
        <f t="shared" si="28"/>
        <v>0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48">
        <f t="shared" si="29"/>
        <v>0</v>
      </c>
      <c r="AA119" s="48">
        <f t="shared" si="30"/>
        <v>0</v>
      </c>
      <c r="AB119" s="48">
        <f t="shared" si="31"/>
        <v>0</v>
      </c>
      <c r="AC119" s="20"/>
      <c r="AD119" s="48">
        <v>10</v>
      </c>
      <c r="AE119" s="48">
        <f>G119*0.414278531925591</f>
        <v>0</v>
      </c>
      <c r="AF119" s="48">
        <f>G119*(1-0.414278531925591)</f>
        <v>0</v>
      </c>
      <c r="AG119" s="20"/>
      <c r="AH119" s="20"/>
      <c r="AI119" s="20"/>
      <c r="AJ119" s="20"/>
      <c r="AK119" s="20"/>
      <c r="AL119" s="20"/>
    </row>
    <row r="120" spans="1:38" ht="13.7" customHeight="1" x14ac:dyDescent="0.2">
      <c r="A120" s="21" t="s">
        <v>341</v>
      </c>
      <c r="B120" s="21"/>
      <c r="C120" s="21" t="s">
        <v>342</v>
      </c>
      <c r="D120" s="21" t="s">
        <v>343</v>
      </c>
      <c r="E120" s="21" t="s">
        <v>207</v>
      </c>
      <c r="F120" s="48">
        <v>1</v>
      </c>
      <c r="G120" s="48">
        <v>0</v>
      </c>
      <c r="H120" s="48">
        <f t="shared" si="24"/>
        <v>0</v>
      </c>
      <c r="I120" s="48">
        <f t="shared" si="25"/>
        <v>0</v>
      </c>
      <c r="J120" s="48">
        <f t="shared" si="26"/>
        <v>0</v>
      </c>
      <c r="K120" s="48">
        <v>0</v>
      </c>
      <c r="L120" s="48">
        <f t="shared" si="27"/>
        <v>0</v>
      </c>
      <c r="M120" s="20"/>
      <c r="N120" s="47" t="s">
        <v>47</v>
      </c>
      <c r="O120" s="48">
        <f t="shared" si="28"/>
        <v>0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48">
        <f t="shared" si="29"/>
        <v>0</v>
      </c>
      <c r="AA120" s="48">
        <f t="shared" si="30"/>
        <v>0</v>
      </c>
      <c r="AB120" s="48">
        <f t="shared" si="31"/>
        <v>0</v>
      </c>
      <c r="AC120" s="20"/>
      <c r="AD120" s="48">
        <v>10</v>
      </c>
      <c r="AE120" s="48">
        <f>G120*0</f>
        <v>0</v>
      </c>
      <c r="AF120" s="48">
        <f>G120*(1-0)</f>
        <v>0</v>
      </c>
      <c r="AG120" s="20"/>
      <c r="AH120" s="20"/>
      <c r="AI120" s="20"/>
      <c r="AJ120" s="20"/>
      <c r="AK120" s="20"/>
      <c r="AL120" s="20"/>
    </row>
    <row r="121" spans="1:38" ht="13.7" customHeight="1" x14ac:dyDescent="0.2">
      <c r="A121" s="22"/>
      <c r="B121" s="22"/>
      <c r="C121" s="22"/>
      <c r="D121" s="22"/>
      <c r="E121" s="22"/>
      <c r="F121" s="22"/>
      <c r="G121" s="22"/>
      <c r="H121" s="111" t="s">
        <v>344</v>
      </c>
      <c r="I121" s="112"/>
      <c r="J121" s="81">
        <f>J12+J14+J16+J18+J20+J22+J23+J26+J29+J31+J32+J35+J36+J38+J42+J43+J49+J61+J68+J74+J81+J86+J89+J90+J91+J92+J97+J98+J103+J104+J108+J109+J111+J112+J114</f>
        <v>0</v>
      </c>
      <c r="K121" s="22"/>
      <c r="L121" s="22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81">
        <f>SUM(Z13:Z120)</f>
        <v>0</v>
      </c>
      <c r="AA121" s="81">
        <f>SUM(AA13:AA120)</f>
        <v>0</v>
      </c>
      <c r="AB121" s="81">
        <f>SUM(AB13:AB120)</f>
        <v>0</v>
      </c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</row>
  </sheetData>
  <mergeCells count="63">
    <mergeCell ref="H121:I121"/>
    <mergeCell ref="D43:G43"/>
    <mergeCell ref="A8:C9"/>
    <mergeCell ref="D97:G97"/>
    <mergeCell ref="D74:G74"/>
    <mergeCell ref="D23:G23"/>
    <mergeCell ref="D29:G29"/>
    <mergeCell ref="A1:L1"/>
    <mergeCell ref="D86:G86"/>
    <mergeCell ref="D81:G81"/>
    <mergeCell ref="D36:G36"/>
    <mergeCell ref="D49:G49"/>
    <mergeCell ref="D2:D3"/>
    <mergeCell ref="H10:J10"/>
    <mergeCell ref="J2:L3"/>
    <mergeCell ref="I6:I7"/>
    <mergeCell ref="D26:G26"/>
    <mergeCell ref="D4:D5"/>
    <mergeCell ref="D42:G42"/>
    <mergeCell ref="K10:L10"/>
    <mergeCell ref="A2:C3"/>
    <mergeCell ref="D32:G32"/>
    <mergeCell ref="J8:L9"/>
    <mergeCell ref="D112:G112"/>
    <mergeCell ref="G6:H7"/>
    <mergeCell ref="D18:G18"/>
    <mergeCell ref="D35:G35"/>
    <mergeCell ref="D31:G31"/>
    <mergeCell ref="J6:L7"/>
    <mergeCell ref="D68:G68"/>
    <mergeCell ref="J4:L5"/>
    <mergeCell ref="I8:I9"/>
    <mergeCell ref="D104:G104"/>
    <mergeCell ref="E6:F7"/>
    <mergeCell ref="E4:F5"/>
    <mergeCell ref="I2:I3"/>
    <mergeCell ref="D114:G114"/>
    <mergeCell ref="D20:G20"/>
    <mergeCell ref="G8:H9"/>
    <mergeCell ref="D38:G38"/>
    <mergeCell ref="D8:D9"/>
    <mergeCell ref="D6:D7"/>
    <mergeCell ref="E2:F3"/>
    <mergeCell ref="D103:G103"/>
    <mergeCell ref="D98:G98"/>
    <mergeCell ref="D90:G90"/>
    <mergeCell ref="D111:G111"/>
    <mergeCell ref="D16:G16"/>
    <mergeCell ref="G4:H5"/>
    <mergeCell ref="D92:G92"/>
    <mergeCell ref="D91:G91"/>
    <mergeCell ref="D22:G22"/>
    <mergeCell ref="A4:C5"/>
    <mergeCell ref="D108:G108"/>
    <mergeCell ref="D61:G61"/>
    <mergeCell ref="D14:G14"/>
    <mergeCell ref="G2:H3"/>
    <mergeCell ref="A6:C7"/>
    <mergeCell ref="I4:I5"/>
    <mergeCell ref="D109:G109"/>
    <mergeCell ref="D12:G12"/>
    <mergeCell ref="E8:F9"/>
    <mergeCell ref="D89:G89"/>
  </mergeCells>
  <pageMargins left="0.75" right="0.75" top="1" bottom="1" header="0.5" footer="0.5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3"/>
  <sheetViews>
    <sheetView showGridLines="0" tabSelected="1" workbookViewId="0">
      <selection sqref="A1:I1"/>
    </sheetView>
  </sheetViews>
  <sheetFormatPr defaultColWidth="10.85546875" defaultRowHeight="12.75" customHeight="1" x14ac:dyDescent="0.2"/>
  <cols>
    <col min="1" max="1" width="9.140625" style="82" customWidth="1"/>
    <col min="2" max="2" width="11.85546875" style="82" customWidth="1"/>
    <col min="3" max="3" width="21.7109375" style="82" customWidth="1"/>
    <col min="4" max="4" width="8.85546875" style="82" customWidth="1"/>
    <col min="5" max="5" width="14" style="82" customWidth="1"/>
    <col min="6" max="6" width="22.7109375" style="82" customWidth="1"/>
    <col min="7" max="7" width="9.140625" style="82" customWidth="1"/>
    <col min="8" max="8" width="11.85546875" style="82" customWidth="1"/>
    <col min="9" max="9" width="22.42578125" style="82" customWidth="1"/>
    <col min="10" max="256" width="10.85546875" style="82" customWidth="1"/>
  </cols>
  <sheetData>
    <row r="1" spans="1:10" ht="28.7" customHeight="1" x14ac:dyDescent="0.2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20"/>
    </row>
    <row r="2" spans="1:10" ht="13.7" customHeight="1" x14ac:dyDescent="0.2">
      <c r="A2" s="130"/>
      <c r="B2" s="130"/>
      <c r="C2" s="130"/>
      <c r="D2" s="130"/>
      <c r="E2" s="130"/>
      <c r="F2" s="130"/>
      <c r="G2" s="130"/>
      <c r="H2" s="130"/>
      <c r="I2" s="130"/>
      <c r="J2" s="20"/>
    </row>
    <row r="3" spans="1:10" ht="13.7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  <c r="J3" s="20"/>
    </row>
    <row r="4" spans="1:10" ht="13.7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  <c r="J4" s="20"/>
    </row>
    <row r="5" spans="1:10" ht="13.7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20"/>
    </row>
    <row r="6" spans="1:10" ht="13.7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  <c r="J6" s="20"/>
    </row>
    <row r="7" spans="1:10" ht="13.7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20"/>
    </row>
    <row r="8" spans="1:10" ht="13.7" customHeight="1" x14ac:dyDescent="0.2">
      <c r="A8" s="130"/>
      <c r="B8" s="130"/>
      <c r="C8" s="130"/>
      <c r="D8" s="130"/>
      <c r="E8" s="130"/>
      <c r="F8" s="130"/>
      <c r="G8" s="130"/>
      <c r="H8" s="130"/>
      <c r="I8" s="130"/>
      <c r="J8" s="20"/>
    </row>
    <row r="9" spans="1:10" ht="13.7" customHeight="1" x14ac:dyDescent="0.2">
      <c r="A9" s="130"/>
      <c r="B9" s="130"/>
      <c r="C9" s="130"/>
      <c r="D9" s="130"/>
      <c r="E9" s="130"/>
      <c r="F9" s="130"/>
      <c r="G9" s="130"/>
      <c r="H9" s="130"/>
      <c r="I9" s="130"/>
      <c r="J9" s="20"/>
    </row>
    <row r="10" spans="1:10" ht="13.7" customHeight="1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20"/>
    </row>
    <row r="11" spans="1:10" ht="13.7" customHeight="1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20"/>
    </row>
    <row r="12" spans="1:10" ht="23.45" customHeight="1" x14ac:dyDescent="0.2">
      <c r="A12" s="131" t="s">
        <v>345</v>
      </c>
      <c r="B12" s="132"/>
      <c r="C12" s="132"/>
      <c r="D12" s="132"/>
      <c r="E12" s="132"/>
      <c r="F12" s="132"/>
      <c r="G12" s="132"/>
      <c r="H12" s="132"/>
      <c r="I12" s="132"/>
      <c r="J12" s="20"/>
    </row>
    <row r="13" spans="1:10" ht="26.45" customHeight="1" x14ac:dyDescent="0.2">
      <c r="A13" s="83" t="s">
        <v>346</v>
      </c>
      <c r="B13" s="128" t="s">
        <v>347</v>
      </c>
      <c r="C13" s="129"/>
      <c r="D13" s="83" t="s">
        <v>348</v>
      </c>
      <c r="E13" s="128" t="s">
        <v>349</v>
      </c>
      <c r="F13" s="129"/>
      <c r="G13" s="83" t="s">
        <v>350</v>
      </c>
      <c r="H13" s="128" t="s">
        <v>351</v>
      </c>
      <c r="I13" s="129"/>
      <c r="J13" s="22"/>
    </row>
    <row r="14" spans="1:10" ht="15.2" customHeight="1" x14ac:dyDescent="0.2">
      <c r="A14" s="84" t="s">
        <v>352</v>
      </c>
      <c r="B14" s="85" t="s">
        <v>353</v>
      </c>
      <c r="C14" s="86">
        <f>SUM('Krycí list rozpočtu'!R12:R120)</f>
        <v>0</v>
      </c>
      <c r="D14" s="117" t="s">
        <v>354</v>
      </c>
      <c r="E14" s="118"/>
      <c r="F14" s="86">
        <v>0</v>
      </c>
      <c r="G14" s="117" t="s">
        <v>355</v>
      </c>
      <c r="H14" s="118"/>
      <c r="I14" s="86"/>
      <c r="J14" s="22"/>
    </row>
    <row r="15" spans="1:10" ht="15.2" customHeight="1" x14ac:dyDescent="0.2">
      <c r="A15" s="84"/>
      <c r="B15" s="85" t="s">
        <v>33</v>
      </c>
      <c r="C15" s="86">
        <f>SUM('Krycí list rozpočtu'!S12:S120)</f>
        <v>0</v>
      </c>
      <c r="D15" s="117" t="s">
        <v>356</v>
      </c>
      <c r="E15" s="118"/>
      <c r="F15" s="86">
        <v>0</v>
      </c>
      <c r="G15" s="117" t="s">
        <v>357</v>
      </c>
      <c r="H15" s="118"/>
      <c r="I15" s="86">
        <v>0</v>
      </c>
      <c r="J15" s="22"/>
    </row>
    <row r="16" spans="1:10" ht="15.2" customHeight="1" x14ac:dyDescent="0.2">
      <c r="A16" s="84" t="s">
        <v>358</v>
      </c>
      <c r="B16" s="85" t="s">
        <v>353</v>
      </c>
      <c r="C16" s="86">
        <f>SUM('Krycí list rozpočtu'!T12:T120)</f>
        <v>0</v>
      </c>
      <c r="D16" s="117" t="s">
        <v>359</v>
      </c>
      <c r="E16" s="118"/>
      <c r="F16" s="86">
        <v>0</v>
      </c>
      <c r="G16" s="117" t="s">
        <v>360</v>
      </c>
      <c r="H16" s="118"/>
      <c r="I16" s="86">
        <v>0</v>
      </c>
      <c r="J16" s="22"/>
    </row>
    <row r="17" spans="1:10" ht="15.2" customHeight="1" x14ac:dyDescent="0.2">
      <c r="A17" s="84"/>
      <c r="B17" s="85" t="s">
        <v>33</v>
      </c>
      <c r="C17" s="86">
        <f>SUM('Krycí list rozpočtu'!U12:U120)</f>
        <v>0</v>
      </c>
      <c r="D17" s="117"/>
      <c r="E17" s="118"/>
      <c r="F17" s="87"/>
      <c r="G17" s="117" t="s">
        <v>361</v>
      </c>
      <c r="H17" s="118"/>
      <c r="I17" s="86">
        <v>0</v>
      </c>
      <c r="J17" s="22"/>
    </row>
    <row r="18" spans="1:10" ht="15.2" customHeight="1" x14ac:dyDescent="0.2">
      <c r="A18" s="84" t="s">
        <v>362</v>
      </c>
      <c r="B18" s="85" t="s">
        <v>353</v>
      </c>
      <c r="C18" s="86">
        <f>SUM('Krycí list rozpočtu'!V12:V120)</f>
        <v>0</v>
      </c>
      <c r="D18" s="117"/>
      <c r="E18" s="118"/>
      <c r="F18" s="87"/>
      <c r="G18" s="117" t="s">
        <v>363</v>
      </c>
      <c r="H18" s="118"/>
      <c r="I18" s="86">
        <v>0</v>
      </c>
      <c r="J18" s="22"/>
    </row>
    <row r="19" spans="1:10" ht="15.2" customHeight="1" x14ac:dyDescent="0.2">
      <c r="A19" s="84"/>
      <c r="B19" s="85" t="s">
        <v>33</v>
      </c>
      <c r="C19" s="86">
        <f>SUM('Krycí list rozpočtu'!W12:W120)</f>
        <v>0</v>
      </c>
      <c r="D19" s="117"/>
      <c r="E19" s="118"/>
      <c r="F19" s="87"/>
      <c r="G19" s="117" t="s">
        <v>364</v>
      </c>
      <c r="H19" s="118"/>
      <c r="I19" s="86">
        <v>0</v>
      </c>
      <c r="J19" s="22"/>
    </row>
    <row r="20" spans="1:10" ht="15.2" customHeight="1" x14ac:dyDescent="0.2">
      <c r="A20" s="126" t="s">
        <v>365</v>
      </c>
      <c r="B20" s="127"/>
      <c r="C20" s="86">
        <f>SUM('Krycí list rozpočtu'!X12:X120)</f>
        <v>0</v>
      </c>
      <c r="D20" s="117"/>
      <c r="E20" s="118"/>
      <c r="F20" s="87"/>
      <c r="G20" s="117"/>
      <c r="H20" s="118"/>
      <c r="I20" s="87"/>
      <c r="J20" s="22"/>
    </row>
    <row r="21" spans="1:10" ht="15.2" customHeight="1" x14ac:dyDescent="0.2">
      <c r="A21" s="126" t="s">
        <v>366</v>
      </c>
      <c r="B21" s="127"/>
      <c r="C21" s="86">
        <f>SUM('Krycí list rozpočtu'!P12:P120)</f>
        <v>0</v>
      </c>
      <c r="D21" s="117"/>
      <c r="E21" s="118"/>
      <c r="F21" s="87"/>
      <c r="G21" s="117"/>
      <c r="H21" s="118"/>
      <c r="I21" s="87"/>
      <c r="J21" s="22"/>
    </row>
    <row r="22" spans="1:10" ht="16.7" customHeight="1" x14ac:dyDescent="0.2">
      <c r="A22" s="126" t="s">
        <v>367</v>
      </c>
      <c r="B22" s="127"/>
      <c r="C22" s="86">
        <f>SUM(C14:C21)</f>
        <v>0</v>
      </c>
      <c r="D22" s="126" t="s">
        <v>368</v>
      </c>
      <c r="E22" s="127"/>
      <c r="F22" s="86">
        <f>SUM(F14:F21)</f>
        <v>0</v>
      </c>
      <c r="G22" s="126" t="s">
        <v>369</v>
      </c>
      <c r="H22" s="127"/>
      <c r="I22" s="86">
        <f>SUM(I14:I21)</f>
        <v>0</v>
      </c>
      <c r="J22" s="22"/>
    </row>
    <row r="23" spans="1:10" ht="13.7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5.2" customHeight="1" x14ac:dyDescent="0.2">
      <c r="A24" s="124" t="s">
        <v>370</v>
      </c>
      <c r="B24" s="125"/>
      <c r="C24" s="88">
        <f>SUM('Krycí list rozpočtu'!Z12:Z120)</f>
        <v>0</v>
      </c>
      <c r="D24" s="22"/>
      <c r="E24" s="22"/>
      <c r="F24" s="22"/>
      <c r="G24" s="22"/>
      <c r="H24" s="22"/>
      <c r="I24" s="22"/>
      <c r="J24" s="20"/>
    </row>
    <row r="25" spans="1:10" ht="15.2" customHeight="1" x14ac:dyDescent="0.2">
      <c r="A25" s="124" t="s">
        <v>371</v>
      </c>
      <c r="B25" s="125"/>
      <c r="C25" s="88">
        <f>SUM('Krycí list rozpočtu'!AA12:AA120)+(F22+I22)</f>
        <v>0</v>
      </c>
      <c r="D25" s="124" t="s">
        <v>372</v>
      </c>
      <c r="E25" s="125"/>
      <c r="F25" s="88"/>
      <c r="G25" s="124" t="s">
        <v>373</v>
      </c>
      <c r="H25" s="125"/>
      <c r="I25" s="88">
        <f>SUM(C24:C26)</f>
        <v>0</v>
      </c>
      <c r="J25" s="22"/>
    </row>
    <row r="26" spans="1:10" ht="15.2" customHeight="1" x14ac:dyDescent="0.2">
      <c r="A26" s="124" t="s">
        <v>374</v>
      </c>
      <c r="B26" s="125"/>
      <c r="C26" s="88">
        <f>SUM('Krycí list rozpočtu'!AB12:AB120)</f>
        <v>0</v>
      </c>
      <c r="D26" s="124" t="s">
        <v>375</v>
      </c>
      <c r="E26" s="125"/>
      <c r="F26" s="88">
        <f>ROUND(C26*(20/100),2)</f>
        <v>0</v>
      </c>
      <c r="G26" s="124" t="s">
        <v>376</v>
      </c>
      <c r="H26" s="125"/>
      <c r="I26" s="88">
        <f>SUM(F25:F26)+I25</f>
        <v>0</v>
      </c>
      <c r="J26" s="22"/>
    </row>
    <row r="27" spans="1:10" ht="14.1" customHeight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20"/>
    </row>
    <row r="28" spans="1:10" ht="14.45" customHeight="1" x14ac:dyDescent="0.2">
      <c r="A28" s="121" t="s">
        <v>377</v>
      </c>
      <c r="B28" s="122"/>
      <c r="C28" s="123"/>
      <c r="D28" s="121" t="s">
        <v>378</v>
      </c>
      <c r="E28" s="122"/>
      <c r="F28" s="123"/>
      <c r="G28" s="121" t="s">
        <v>379</v>
      </c>
      <c r="H28" s="122"/>
      <c r="I28" s="123"/>
      <c r="J28" s="26"/>
    </row>
    <row r="29" spans="1:10" ht="14.45" customHeight="1" x14ac:dyDescent="0.2">
      <c r="A29" s="119"/>
      <c r="B29" s="118"/>
      <c r="C29" s="120"/>
      <c r="D29" s="119"/>
      <c r="E29" s="118"/>
      <c r="F29" s="120"/>
      <c r="G29" s="119"/>
      <c r="H29" s="118"/>
      <c r="I29" s="120"/>
      <c r="J29" s="26"/>
    </row>
    <row r="30" spans="1:10" ht="14.45" customHeight="1" x14ac:dyDescent="0.2">
      <c r="A30" s="119"/>
      <c r="B30" s="118"/>
      <c r="C30" s="120"/>
      <c r="D30" s="119"/>
      <c r="E30" s="118"/>
      <c r="F30" s="120"/>
      <c r="G30" s="119"/>
      <c r="H30" s="118"/>
      <c r="I30" s="120"/>
      <c r="J30" s="26"/>
    </row>
    <row r="31" spans="1:10" ht="14.45" customHeight="1" x14ac:dyDescent="0.2">
      <c r="A31" s="119"/>
      <c r="B31" s="118"/>
      <c r="C31" s="120"/>
      <c r="D31" s="119"/>
      <c r="E31" s="118"/>
      <c r="F31" s="120"/>
      <c r="G31" s="119"/>
      <c r="H31" s="118"/>
      <c r="I31" s="120"/>
      <c r="J31" s="26"/>
    </row>
    <row r="32" spans="1:10" ht="14.45" customHeight="1" x14ac:dyDescent="0.2">
      <c r="A32" s="114" t="s">
        <v>380</v>
      </c>
      <c r="B32" s="115"/>
      <c r="C32" s="116"/>
      <c r="D32" s="114" t="s">
        <v>380</v>
      </c>
      <c r="E32" s="115"/>
      <c r="F32" s="116"/>
      <c r="G32" s="114" t="s">
        <v>380</v>
      </c>
      <c r="H32" s="115"/>
      <c r="I32" s="116"/>
      <c r="J32" s="26"/>
    </row>
    <row r="33" spans="1:10" ht="14.1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20"/>
    </row>
  </sheetData>
  <mergeCells count="78">
    <mergeCell ref="A1:I1"/>
    <mergeCell ref="A2:B3"/>
    <mergeCell ref="F2:G3"/>
    <mergeCell ref="E6:E7"/>
    <mergeCell ref="A20:B20"/>
    <mergeCell ref="E4:E5"/>
    <mergeCell ref="E2:E3"/>
    <mergeCell ref="C10:D11"/>
    <mergeCell ref="C8:D9"/>
    <mergeCell ref="C6:D7"/>
    <mergeCell ref="C2:D3"/>
    <mergeCell ref="A10:B11"/>
    <mergeCell ref="A8:B9"/>
    <mergeCell ref="A4:B5"/>
    <mergeCell ref="A6:B7"/>
    <mergeCell ref="C4:D5"/>
    <mergeCell ref="A12:I12"/>
    <mergeCell ref="E8:E9"/>
    <mergeCell ref="I2:I3"/>
    <mergeCell ref="H6:H7"/>
    <mergeCell ref="A32:C32"/>
    <mergeCell ref="D20:E20"/>
    <mergeCell ref="H4:H5"/>
    <mergeCell ref="A30:C30"/>
    <mergeCell ref="D18:E18"/>
    <mergeCell ref="H2:H3"/>
    <mergeCell ref="F10:G11"/>
    <mergeCell ref="A28:C28"/>
    <mergeCell ref="D16:E16"/>
    <mergeCell ref="F8:G9"/>
    <mergeCell ref="A26:B26"/>
    <mergeCell ref="D14:E14"/>
    <mergeCell ref="F6:G7"/>
    <mergeCell ref="E10:E11"/>
    <mergeCell ref="I6:I7"/>
    <mergeCell ref="H10:H11"/>
    <mergeCell ref="I4:I5"/>
    <mergeCell ref="H8:H9"/>
    <mergeCell ref="D22:E22"/>
    <mergeCell ref="F4:G5"/>
    <mergeCell ref="I10:I11"/>
    <mergeCell ref="D28:F28"/>
    <mergeCell ref="G16:H16"/>
    <mergeCell ref="I8:I9"/>
    <mergeCell ref="D26:E26"/>
    <mergeCell ref="G14:H14"/>
    <mergeCell ref="H13:I13"/>
    <mergeCell ref="A29:C29"/>
    <mergeCell ref="D17:E17"/>
    <mergeCell ref="E13:F13"/>
    <mergeCell ref="B13:C13"/>
    <mergeCell ref="G18:H18"/>
    <mergeCell ref="A22:B22"/>
    <mergeCell ref="A24:B24"/>
    <mergeCell ref="D15:E15"/>
    <mergeCell ref="G25:H25"/>
    <mergeCell ref="D25:E25"/>
    <mergeCell ref="A25:B25"/>
    <mergeCell ref="G22:H22"/>
    <mergeCell ref="G20:H20"/>
    <mergeCell ref="A21:B21"/>
    <mergeCell ref="G19:H19"/>
    <mergeCell ref="G15:H15"/>
    <mergeCell ref="G17:H17"/>
    <mergeCell ref="A31:C31"/>
    <mergeCell ref="D19:E19"/>
    <mergeCell ref="G29:I29"/>
    <mergeCell ref="G28:I28"/>
    <mergeCell ref="G26:H26"/>
    <mergeCell ref="D31:F31"/>
    <mergeCell ref="D29:F29"/>
    <mergeCell ref="D30:F30"/>
    <mergeCell ref="G32:I32"/>
    <mergeCell ref="D21:E21"/>
    <mergeCell ref="G21:H21"/>
    <mergeCell ref="G31:I31"/>
    <mergeCell ref="G30:I30"/>
    <mergeCell ref="D32:F32"/>
  </mergeCells>
  <pageMargins left="0.75" right="0.75" top="1" bottom="1" header="0.5" footer="0.5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exportu</vt:lpstr>
      <vt:lpstr>Stavební rozpočet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starostka</cp:lastModifiedBy>
  <dcterms:created xsi:type="dcterms:W3CDTF">2018-09-13T08:41:49Z</dcterms:created>
  <dcterms:modified xsi:type="dcterms:W3CDTF">2018-09-13T08:41:49Z</dcterms:modified>
</cp:coreProperties>
</file>